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\\be250w.pmcg.imti\setores\GEOR\TÉCNICOS\ENG MATHEUS\1- Orçamentos\SELC\13- VILA NATHALIA\rev.01 10.2025\"/>
    </mc:Choice>
  </mc:AlternateContent>
  <bookViews>
    <workbookView xWindow="0" yWindow="0" windowWidth="28800" windowHeight="12030" tabRatio="684"/>
  </bookViews>
  <sheets>
    <sheet name="LEVANTAMENTO VILA NATHALIA" sheetId="2" r:id="rId1"/>
    <sheet name="RelatorioMedição" sheetId="1" r:id="rId2"/>
    <sheet name="Planilha1" sheetId="5" r:id="rId3"/>
  </sheets>
  <definedNames>
    <definedName name="_xlnm.Print_Area" localSheetId="0">'LEVANTAMENTO VILA NATHALIA'!$D$5:$K$829</definedName>
    <definedName name="_xlnm.Print_Titles" localSheetId="0">'LEVANTAMENTO VILA NATHALIA'!$1:$6</definedName>
    <definedName name="_xlnm.Print_Titles" localSheetId="1">RelatorioMedição!$1:$4</definedName>
  </definedNames>
  <calcPr calcId="162913" iterateDelta="1E-4"/>
</workbook>
</file>

<file path=xl/calcChain.xml><?xml version="1.0" encoding="utf-8"?>
<calcChain xmlns="http://schemas.openxmlformats.org/spreadsheetml/2006/main">
  <c r="J398" i="2" l="1"/>
  <c r="J285" i="2"/>
  <c r="J284" i="2"/>
  <c r="I336" i="2"/>
  <c r="I398" i="2"/>
  <c r="I284" i="2"/>
  <c r="I285" i="2"/>
  <c r="K752" i="2" l="1"/>
  <c r="I828" i="2"/>
  <c r="I86" i="2"/>
  <c r="I138" i="2"/>
  <c r="I608" i="2"/>
  <c r="I353" i="2"/>
  <c r="I352" i="2"/>
  <c r="I268" i="2"/>
  <c r="I348" i="2"/>
  <c r="I347" i="2"/>
  <c r="I341" i="2" s="1"/>
  <c r="I346" i="2"/>
  <c r="I345" i="2"/>
  <c r="I344" i="2"/>
  <c r="I343" i="2"/>
  <c r="I342" i="2"/>
  <c r="I119" i="2"/>
  <c r="I262" i="2"/>
  <c r="I261" i="2"/>
  <c r="I264" i="2"/>
  <c r="I263" i="2"/>
  <c r="I260" i="2"/>
  <c r="I258" i="2"/>
  <c r="I256" i="2" s="1"/>
  <c r="I259" i="2"/>
  <c r="I257" i="2"/>
  <c r="I278" i="2"/>
  <c r="I334" i="2"/>
  <c r="I107" i="2"/>
  <c r="I407" i="2"/>
  <c r="I406" i="2"/>
  <c r="I405" i="2"/>
  <c r="I403" i="2"/>
  <c r="I402" i="2"/>
  <c r="I267" i="2"/>
  <c r="I450" i="2"/>
  <c r="I269" i="2"/>
  <c r="I270" i="2"/>
  <c r="I95" i="2"/>
  <c r="I94" i="2"/>
  <c r="I93" i="2"/>
  <c r="I92" i="2"/>
  <c r="I91" i="2"/>
  <c r="I90" i="2"/>
  <c r="I89" i="2"/>
  <c r="I88" i="2" s="1"/>
  <c r="I106" i="2"/>
  <c r="I17" i="2"/>
  <c r="I16" i="2"/>
  <c r="I15" i="2"/>
  <c r="I14" i="2"/>
  <c r="I10" i="2"/>
  <c r="I186" i="2"/>
  <c r="I109" i="2"/>
  <c r="I112" i="2"/>
  <c r="I117" i="2"/>
  <c r="I115" i="2"/>
  <c r="I333" i="2"/>
  <c r="I351" i="2"/>
  <c r="I350" i="2"/>
  <c r="I337" i="2"/>
  <c r="I338" i="2"/>
  <c r="I276" i="2"/>
  <c r="I274" i="2"/>
  <c r="I273" i="2"/>
  <c r="I272" i="2"/>
  <c r="Q219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203" i="2"/>
  <c r="G178" i="2"/>
  <c r="H178" i="2"/>
  <c r="I178" i="2"/>
  <c r="G179" i="2"/>
  <c r="H179" i="2"/>
  <c r="I179" i="2"/>
  <c r="G180" i="2"/>
  <c r="H180" i="2"/>
  <c r="I180" i="2"/>
  <c r="G181" i="2"/>
  <c r="H181" i="2"/>
  <c r="I181" i="2"/>
  <c r="G182" i="2"/>
  <c r="H182" i="2"/>
  <c r="I182" i="2"/>
  <c r="G183" i="2"/>
  <c r="H183" i="2"/>
  <c r="I183" i="2"/>
  <c r="G184" i="2"/>
  <c r="H184" i="2"/>
  <c r="I184" i="2"/>
  <c r="G185" i="2"/>
  <c r="H185" i="2"/>
  <c r="I185" i="2"/>
  <c r="G186" i="2"/>
  <c r="H186" i="2"/>
  <c r="G187" i="2"/>
  <c r="H187" i="2"/>
  <c r="I187" i="2"/>
  <c r="I177" i="2" s="1"/>
  <c r="G188" i="2"/>
  <c r="H188" i="2"/>
  <c r="I188" i="2"/>
  <c r="G189" i="2"/>
  <c r="H189" i="2"/>
  <c r="I189" i="2"/>
  <c r="G190" i="2"/>
  <c r="H190" i="2"/>
  <c r="I190" i="2"/>
  <c r="G191" i="2"/>
  <c r="H191" i="2"/>
  <c r="I191" i="2"/>
  <c r="G192" i="2"/>
  <c r="H192" i="2"/>
  <c r="I192" i="2"/>
  <c r="G193" i="2"/>
  <c r="H193" i="2"/>
  <c r="I193" i="2"/>
  <c r="G194" i="2"/>
  <c r="H194" i="2"/>
  <c r="I194" i="2"/>
  <c r="G195" i="2"/>
  <c r="H195" i="2"/>
  <c r="I195" i="2"/>
  <c r="G196" i="2"/>
  <c r="H196" i="2"/>
  <c r="I196" i="2"/>
  <c r="G197" i="2"/>
  <c r="H197" i="2"/>
  <c r="I197" i="2"/>
  <c r="G198" i="2"/>
  <c r="H198" i="2"/>
  <c r="I198" i="2"/>
  <c r="G199" i="2"/>
  <c r="H199" i="2"/>
  <c r="I199" i="2"/>
  <c r="G200" i="2"/>
  <c r="H200" i="2"/>
  <c r="I200" i="2"/>
  <c r="G152" i="2"/>
  <c r="H152" i="2"/>
  <c r="I152" i="2"/>
  <c r="G153" i="2"/>
  <c r="H153" i="2"/>
  <c r="I153" i="2"/>
  <c r="G154" i="2"/>
  <c r="H154" i="2"/>
  <c r="I154" i="2"/>
  <c r="G155" i="2"/>
  <c r="H155" i="2"/>
  <c r="I155" i="2"/>
  <c r="G156" i="2"/>
  <c r="H156" i="2"/>
  <c r="I156" i="2"/>
  <c r="G157" i="2"/>
  <c r="H157" i="2"/>
  <c r="I157" i="2"/>
  <c r="G158" i="2"/>
  <c r="H158" i="2"/>
  <c r="I158" i="2"/>
  <c r="G159" i="2"/>
  <c r="H159" i="2"/>
  <c r="I159" i="2"/>
  <c r="G160" i="2"/>
  <c r="H160" i="2"/>
  <c r="I160" i="2"/>
  <c r="G161" i="2"/>
  <c r="H161" i="2"/>
  <c r="I161" i="2"/>
  <c r="G162" i="2"/>
  <c r="H162" i="2"/>
  <c r="I162" i="2"/>
  <c r="G163" i="2"/>
  <c r="H163" i="2"/>
  <c r="I163" i="2"/>
  <c r="G164" i="2"/>
  <c r="H164" i="2"/>
  <c r="I164" i="2"/>
  <c r="G165" i="2"/>
  <c r="H165" i="2"/>
  <c r="I165" i="2"/>
  <c r="G166" i="2"/>
  <c r="H166" i="2"/>
  <c r="I166" i="2"/>
  <c r="G167" i="2"/>
  <c r="H167" i="2"/>
  <c r="I167" i="2"/>
  <c r="G168" i="2"/>
  <c r="H168" i="2"/>
  <c r="I168" i="2"/>
  <c r="G169" i="2"/>
  <c r="H169" i="2"/>
  <c r="I169" i="2"/>
  <c r="G170" i="2"/>
  <c r="H170" i="2"/>
  <c r="I170" i="2"/>
  <c r="G171" i="2"/>
  <c r="H171" i="2"/>
  <c r="I171" i="2"/>
  <c r="G172" i="2"/>
  <c r="H172" i="2"/>
  <c r="I172" i="2"/>
  <c r="G173" i="2"/>
  <c r="H173" i="2"/>
  <c r="I173" i="2"/>
  <c r="G174" i="2"/>
  <c r="H174" i="2"/>
  <c r="I174" i="2"/>
  <c r="G175" i="2"/>
  <c r="H175" i="2"/>
  <c r="I175" i="2"/>
  <c r="Q139" i="2"/>
  <c r="I135" i="2"/>
  <c r="I137" i="2"/>
  <c r="I136" i="2"/>
  <c r="I134" i="2"/>
  <c r="I133" i="2"/>
  <c r="I132" i="2"/>
  <c r="I65" i="2"/>
  <c r="I83" i="2"/>
  <c r="I75" i="2"/>
  <c r="I103" i="2"/>
  <c r="I105" i="2"/>
  <c r="I102" i="2"/>
  <c r="I101" i="2"/>
  <c r="F365" i="2"/>
  <c r="F373" i="2"/>
  <c r="I459" i="2"/>
  <c r="I458" i="2"/>
  <c r="I457" i="2"/>
  <c r="I456" i="2"/>
  <c r="I455" i="2"/>
  <c r="I453" i="2"/>
  <c r="I452" i="2"/>
  <c r="I451" i="2"/>
  <c r="I447" i="2"/>
  <c r="I446" i="2"/>
  <c r="I445" i="2"/>
  <c r="I444" i="2"/>
  <c r="I443" i="2"/>
  <c r="I441" i="2"/>
  <c r="I440" i="2"/>
  <c r="I439" i="2"/>
  <c r="I438" i="2"/>
  <c r="I436" i="2"/>
  <c r="I435" i="2"/>
  <c r="I434" i="2"/>
  <c r="I433" i="2"/>
  <c r="I432" i="2"/>
  <c r="I430" i="2"/>
  <c r="I429" i="2"/>
  <c r="I428" i="2"/>
  <c r="I427" i="2"/>
  <c r="I425" i="2"/>
  <c r="I420" i="2"/>
  <c r="I419" i="2"/>
  <c r="I418" i="2"/>
  <c r="I414" i="2"/>
  <c r="I413" i="2"/>
  <c r="I412" i="2"/>
  <c r="I408" i="2"/>
  <c r="I404" i="2"/>
  <c r="I400" i="2"/>
  <c r="P8" i="1"/>
  <c r="P472" i="1" s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Q10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74" i="2"/>
  <c r="I76" i="2"/>
  <c r="I74" i="2" s="1"/>
  <c r="I79" i="2"/>
  <c r="I81" i="2"/>
  <c r="I82" i="2"/>
  <c r="S97" i="2"/>
  <c r="Q97" i="2"/>
  <c r="I99" i="2"/>
  <c r="I100" i="2"/>
  <c r="I104" i="2"/>
  <c r="Q112" i="2"/>
  <c r="Q131" i="2"/>
  <c r="Q138" i="2"/>
  <c r="Q22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254" i="2"/>
  <c r="Q255" i="2"/>
  <c r="Q256" i="2"/>
  <c r="Q266" i="2"/>
  <c r="Q271" i="2"/>
  <c r="Q280" i="2"/>
  <c r="Q281" i="2"/>
  <c r="Q282" i="2"/>
  <c r="Q283" i="2"/>
  <c r="I288" i="2"/>
  <c r="I289" i="2"/>
  <c r="I290" i="2"/>
  <c r="I291" i="2"/>
  <c r="I292" i="2"/>
  <c r="I293" i="2"/>
  <c r="I294" i="2"/>
  <c r="I295" i="2"/>
  <c r="I296" i="2"/>
  <c r="I297" i="2"/>
  <c r="I299" i="2"/>
  <c r="I300" i="2"/>
  <c r="I301" i="2"/>
  <c r="I302" i="2"/>
  <c r="I305" i="2"/>
  <c r="I306" i="2"/>
  <c r="I307" i="2"/>
  <c r="I308" i="2"/>
  <c r="I311" i="2"/>
  <c r="I313" i="2"/>
  <c r="I314" i="2"/>
  <c r="I315" i="2"/>
  <c r="I316" i="2"/>
  <c r="I317" i="2"/>
  <c r="I320" i="2"/>
  <c r="I321" i="2"/>
  <c r="I322" i="2"/>
  <c r="I323" i="2"/>
  <c r="I324" i="2"/>
  <c r="I327" i="2"/>
  <c r="I328" i="2"/>
  <c r="I329" i="2"/>
  <c r="I330" i="2"/>
  <c r="I331" i="2"/>
  <c r="Q341" i="2"/>
  <c r="Q355" i="2"/>
  <c r="Q364" i="2"/>
  <c r="Q365" i="2"/>
  <c r="Q372" i="2"/>
  <c r="Q396" i="2"/>
  <c r="Q398" i="2"/>
  <c r="Q462" i="2"/>
  <c r="Q463" i="2"/>
  <c r="Q464" i="2"/>
  <c r="Q465" i="2"/>
  <c r="Q466" i="2"/>
  <c r="Q467" i="2"/>
  <c r="Q468" i="2"/>
  <c r="Q469" i="2"/>
  <c r="Q470" i="2"/>
  <c r="Q471" i="2"/>
  <c r="Q472" i="2"/>
  <c r="Q473" i="2"/>
  <c r="Q474" i="2"/>
  <c r="Q475" i="2"/>
  <c r="Q476" i="2"/>
  <c r="Q477" i="2"/>
  <c r="Q479" i="2"/>
  <c r="J482" i="2"/>
  <c r="Q482" i="2"/>
  <c r="I483" i="2"/>
  <c r="I482" i="2" s="1"/>
  <c r="I484" i="2"/>
  <c r="I485" i="2"/>
  <c r="I486" i="2"/>
  <c r="I487" i="2"/>
  <c r="Q488" i="2"/>
  <c r="Q489" i="2"/>
  <c r="I490" i="2"/>
  <c r="Q490" i="2"/>
  <c r="I491" i="2"/>
  <c r="Q491" i="2"/>
  <c r="I494" i="2"/>
  <c r="Q497" i="2"/>
  <c r="Q498" i="2"/>
  <c r="Q499" i="2"/>
  <c r="Q500" i="2"/>
  <c r="Q501" i="2"/>
  <c r="Q502" i="2"/>
  <c r="Q503" i="2"/>
  <c r="Q504" i="2"/>
  <c r="Q505" i="2"/>
  <c r="Q506" i="2"/>
  <c r="Q507" i="2"/>
  <c r="Q508" i="2"/>
  <c r="Q509" i="2"/>
  <c r="Q510" i="2"/>
  <c r="Q511" i="2"/>
  <c r="Q512" i="2"/>
  <c r="Q513" i="2"/>
  <c r="Q514" i="2"/>
  <c r="Q515" i="2"/>
  <c r="Q516" i="2"/>
  <c r="Q517" i="2"/>
  <c r="Q518" i="2"/>
  <c r="Q519" i="2"/>
  <c r="Q520" i="2"/>
  <c r="Q521" i="2"/>
  <c r="Q522" i="2"/>
  <c r="Q523" i="2"/>
  <c r="Q524" i="2"/>
  <c r="Q525" i="2"/>
  <c r="Q526" i="2"/>
  <c r="Q527" i="2"/>
  <c r="Q528" i="2"/>
  <c r="Q529" i="2"/>
  <c r="Q530" i="2"/>
  <c r="Q531" i="2"/>
  <c r="Q532" i="2"/>
  <c r="Q533" i="2"/>
  <c r="Q534" i="2"/>
  <c r="Q535" i="2"/>
  <c r="Q536" i="2"/>
  <c r="Q537" i="2"/>
  <c r="Q538" i="2"/>
  <c r="Q539" i="2"/>
  <c r="Q540" i="2"/>
  <c r="Q541" i="2"/>
  <c r="Q542" i="2"/>
  <c r="Q543" i="2"/>
  <c r="Q544" i="2"/>
  <c r="Q545" i="2"/>
  <c r="Q546" i="2"/>
  <c r="Q547" i="2"/>
  <c r="Q548" i="2"/>
  <c r="Q549" i="2"/>
  <c r="Q550" i="2"/>
  <c r="Q551" i="2"/>
  <c r="Q552" i="2"/>
  <c r="Q553" i="2"/>
  <c r="Q554" i="2"/>
  <c r="Q555" i="2"/>
  <c r="Q556" i="2"/>
  <c r="Q557" i="2"/>
  <c r="Q558" i="2"/>
  <c r="Q559" i="2"/>
  <c r="Q560" i="2"/>
  <c r="Q561" i="2"/>
  <c r="Q562" i="2"/>
  <c r="Q563" i="2"/>
  <c r="Q564" i="2"/>
  <c r="Q565" i="2"/>
  <c r="Q566" i="2"/>
  <c r="Q567" i="2"/>
  <c r="Q568" i="2"/>
  <c r="Q569" i="2"/>
  <c r="Q570" i="2"/>
  <c r="Q571" i="2"/>
  <c r="Q572" i="2"/>
  <c r="Q573" i="2"/>
  <c r="Q574" i="2"/>
  <c r="Q575" i="2"/>
  <c r="Q576" i="2"/>
  <c r="Q577" i="2"/>
  <c r="Q578" i="2"/>
  <c r="Q579" i="2"/>
  <c r="Q580" i="2"/>
  <c r="Q581" i="2"/>
  <c r="Q582" i="2"/>
  <c r="Q583" i="2"/>
  <c r="Q584" i="2"/>
  <c r="Q585" i="2"/>
  <c r="Q586" i="2"/>
  <c r="Q587" i="2"/>
  <c r="Q588" i="2"/>
  <c r="Q589" i="2"/>
  <c r="Q590" i="2"/>
  <c r="Q591" i="2"/>
  <c r="Q592" i="2"/>
  <c r="Q593" i="2"/>
  <c r="Q594" i="2"/>
  <c r="Q595" i="2"/>
  <c r="Q596" i="2"/>
  <c r="Q597" i="2"/>
  <c r="Q598" i="2"/>
  <c r="Q599" i="2"/>
  <c r="Q600" i="2"/>
  <c r="Q601" i="2"/>
  <c r="Q602" i="2"/>
  <c r="Q603" i="2"/>
  <c r="Q604" i="2"/>
  <c r="Q605" i="2"/>
  <c r="Q607" i="2"/>
  <c r="Q608" i="2"/>
  <c r="Q609" i="2"/>
  <c r="Q610" i="2"/>
  <c r="Q611" i="2"/>
  <c r="Q612" i="2"/>
  <c r="Q613" i="2"/>
  <c r="Q614" i="2"/>
  <c r="Q615" i="2"/>
  <c r="Q616" i="2"/>
  <c r="Q617" i="2"/>
  <c r="Q618" i="2"/>
  <c r="Q619" i="2"/>
  <c r="Q620" i="2"/>
  <c r="Q621" i="2"/>
  <c r="Q622" i="2"/>
  <c r="Q623" i="2"/>
  <c r="Q624" i="2"/>
  <c r="Q625" i="2"/>
  <c r="Q626" i="2"/>
  <c r="Q627" i="2"/>
  <c r="Q628" i="2"/>
  <c r="Q629" i="2"/>
  <c r="Q630" i="2"/>
  <c r="Q631" i="2"/>
  <c r="Q632" i="2"/>
  <c r="Q633" i="2"/>
  <c r="Q634" i="2"/>
  <c r="Q635" i="2"/>
  <c r="Q636" i="2"/>
  <c r="Q637" i="2"/>
  <c r="Q638" i="2"/>
  <c r="Q639" i="2"/>
  <c r="Q640" i="2"/>
  <c r="Q641" i="2"/>
  <c r="Q642" i="2"/>
  <c r="Q643" i="2"/>
  <c r="Q644" i="2"/>
  <c r="Q645" i="2"/>
  <c r="Q646" i="2"/>
  <c r="Q647" i="2"/>
  <c r="Q648" i="2"/>
  <c r="Q649" i="2"/>
  <c r="Q650" i="2"/>
  <c r="Q651" i="2"/>
  <c r="Q652" i="2"/>
  <c r="Q653" i="2"/>
  <c r="Q654" i="2"/>
  <c r="Q655" i="2"/>
  <c r="Q656" i="2"/>
  <c r="Q657" i="2"/>
  <c r="Q658" i="2"/>
  <c r="Q659" i="2"/>
  <c r="Q660" i="2"/>
  <c r="Q661" i="2"/>
  <c r="Q662" i="2"/>
  <c r="Q663" i="2"/>
  <c r="Q664" i="2"/>
  <c r="Q665" i="2"/>
  <c r="Q666" i="2"/>
  <c r="Q667" i="2"/>
  <c r="Q668" i="2"/>
  <c r="Q669" i="2"/>
  <c r="Q670" i="2"/>
  <c r="Q671" i="2"/>
  <c r="Q672" i="2"/>
  <c r="Q673" i="2"/>
  <c r="Q674" i="2"/>
  <c r="Q675" i="2"/>
  <c r="Q676" i="2"/>
  <c r="Q677" i="2"/>
  <c r="Q678" i="2"/>
  <c r="Q679" i="2"/>
  <c r="Q680" i="2"/>
  <c r="Q681" i="2"/>
  <c r="Q682" i="2"/>
  <c r="Q683" i="2"/>
  <c r="Q684" i="2"/>
  <c r="Q685" i="2"/>
  <c r="Q686" i="2"/>
  <c r="Q687" i="2"/>
  <c r="Q688" i="2"/>
  <c r="Q689" i="2"/>
  <c r="Q690" i="2"/>
  <c r="Q691" i="2"/>
  <c r="Q692" i="2"/>
  <c r="Q693" i="2"/>
  <c r="Q694" i="2"/>
  <c r="Q695" i="2"/>
  <c r="Q696" i="2"/>
  <c r="Q697" i="2"/>
  <c r="Q698" i="2"/>
  <c r="Q699" i="2"/>
  <c r="Q700" i="2"/>
  <c r="Q701" i="2"/>
  <c r="Q702" i="2"/>
  <c r="Q703" i="2"/>
  <c r="Q704" i="2"/>
  <c r="Q705" i="2"/>
  <c r="Q706" i="2"/>
  <c r="Q707" i="2"/>
  <c r="Q708" i="2"/>
  <c r="Q709" i="2"/>
  <c r="Q710" i="2"/>
  <c r="Q711" i="2"/>
  <c r="Q712" i="2"/>
  <c r="Q713" i="2"/>
  <c r="Q714" i="2"/>
  <c r="Q715" i="2"/>
  <c r="Q716" i="2"/>
  <c r="Q717" i="2"/>
  <c r="Q718" i="2"/>
  <c r="Q719" i="2"/>
  <c r="Q720" i="2"/>
  <c r="Q721" i="2"/>
  <c r="Q722" i="2"/>
  <c r="Q723" i="2"/>
  <c r="Q724" i="2"/>
  <c r="Q725" i="2"/>
  <c r="Q726" i="2"/>
  <c r="Q727" i="2"/>
  <c r="Q728" i="2"/>
  <c r="Q729" i="2"/>
  <c r="Q730" i="2"/>
  <c r="Q731" i="2"/>
  <c r="Q732" i="2"/>
  <c r="Q733" i="2"/>
  <c r="Q734" i="2"/>
  <c r="Q735" i="2"/>
  <c r="Q736" i="2"/>
  <c r="Q737" i="2"/>
  <c r="Q738" i="2"/>
  <c r="Q739" i="2"/>
  <c r="Q740" i="2"/>
  <c r="Q741" i="2"/>
  <c r="Q747" i="2"/>
  <c r="Q748" i="2"/>
  <c r="Q749" i="2"/>
  <c r="Q750" i="2"/>
  <c r="Q751" i="2"/>
  <c r="Q752" i="2"/>
  <c r="Q753" i="2"/>
  <c r="Q754" i="2"/>
  <c r="Q755" i="2"/>
  <c r="Q756" i="2"/>
  <c r="Q757" i="2"/>
  <c r="Q758" i="2"/>
  <c r="Q759" i="2"/>
  <c r="Q760" i="2"/>
  <c r="Q761" i="2"/>
  <c r="Q762" i="2"/>
  <c r="Q763" i="2"/>
  <c r="Q764" i="2"/>
  <c r="Q765" i="2"/>
  <c r="Q766" i="2"/>
  <c r="Q767" i="2"/>
  <c r="Q768" i="2"/>
  <c r="Q769" i="2"/>
  <c r="Q770" i="2"/>
  <c r="Q771" i="2"/>
  <c r="Q772" i="2"/>
  <c r="Q773" i="2"/>
  <c r="Q774" i="2"/>
  <c r="Q775" i="2"/>
  <c r="Q776" i="2"/>
  <c r="Q777" i="2"/>
  <c r="Q778" i="2"/>
  <c r="Q779" i="2"/>
  <c r="Q780" i="2"/>
  <c r="Q781" i="2"/>
  <c r="Q782" i="2"/>
  <c r="Q783" i="2"/>
  <c r="Q784" i="2"/>
  <c r="Q785" i="2"/>
  <c r="Q786" i="2"/>
  <c r="Q787" i="2"/>
  <c r="Q788" i="2"/>
  <c r="Q789" i="2"/>
  <c r="Q790" i="2"/>
  <c r="Q791" i="2"/>
  <c r="Q792" i="2"/>
  <c r="Q793" i="2"/>
  <c r="Q794" i="2"/>
  <c r="Q795" i="2"/>
  <c r="Q796" i="2"/>
  <c r="Q797" i="2"/>
  <c r="Q798" i="2"/>
  <c r="Q799" i="2"/>
  <c r="Q800" i="2"/>
  <c r="Q801" i="2"/>
  <c r="Q802" i="2"/>
  <c r="Q803" i="2"/>
  <c r="Q804" i="2"/>
  <c r="Q805" i="2"/>
  <c r="Q806" i="2"/>
  <c r="Q807" i="2"/>
  <c r="Q808" i="2"/>
  <c r="Q809" i="2"/>
  <c r="Q810" i="2"/>
  <c r="Q811" i="2"/>
  <c r="Q812" i="2"/>
  <c r="Q813" i="2"/>
  <c r="Q814" i="2"/>
  <c r="Q815" i="2"/>
  <c r="Q816" i="2"/>
  <c r="Q817" i="2"/>
  <c r="Q818" i="2"/>
  <c r="Q819" i="2"/>
  <c r="Q820" i="2"/>
  <c r="Q821" i="2"/>
  <c r="Q822" i="2"/>
  <c r="Q823" i="2"/>
  <c r="Q824" i="2"/>
  <c r="Q825" i="2"/>
  <c r="Q826" i="2"/>
  <c r="Q827" i="2"/>
  <c r="I97" i="2"/>
  <c r="I131" i="2"/>
  <c r="I271" i="2"/>
  <c r="Q829" i="2"/>
</calcChain>
</file>

<file path=xl/sharedStrings.xml><?xml version="1.0" encoding="utf-8"?>
<sst xmlns="http://schemas.openxmlformats.org/spreadsheetml/2006/main" count="2439" uniqueCount="782">
  <si>
    <t>CodigoSubPlanilha</t>
  </si>
  <si>
    <t>ESPECIFICAÇÃO DOS SERVIÇOS</t>
  </si>
  <si>
    <t>QExecutada</t>
  </si>
  <si>
    <t>QAnterior</t>
  </si>
  <si>
    <t>PreçoProposto</t>
  </si>
  <si>
    <t>VExecutado</t>
  </si>
  <si>
    <t>VAnterior</t>
  </si>
  <si>
    <t>VAcumulado</t>
  </si>
  <si>
    <t>SERVIÇOS PRELIMINARES</t>
  </si>
  <si>
    <t xml:space="preserve"> </t>
  </si>
  <si>
    <t>M²</t>
  </si>
  <si>
    <t>M³</t>
  </si>
  <si>
    <t>M³ KM</t>
  </si>
  <si>
    <t>MOVIMENTO DE TERRA</t>
  </si>
  <si>
    <t>FUNDAÇÕES</t>
  </si>
  <si>
    <t>M</t>
  </si>
  <si>
    <t>KG</t>
  </si>
  <si>
    <t>SUPERESTRUTURA</t>
  </si>
  <si>
    <t>COBERTURA</t>
  </si>
  <si>
    <t>ESQUADRIAS</t>
  </si>
  <si>
    <t>UND</t>
  </si>
  <si>
    <t>SISTEMA DE VEDAÇÃO VERTICAL INTERNO E EXTERNO ( PAREDE )</t>
  </si>
  <si>
    <t>INSTALAÇÕES HIDRAULICAS E SANITARIAS</t>
  </si>
  <si>
    <t>HIDRÁULICA</t>
  </si>
  <si>
    <t>M3</t>
  </si>
  <si>
    <t>UND.</t>
  </si>
  <si>
    <t>ÁGUAS PLUVIAIS</t>
  </si>
  <si>
    <t>SANITÁRIO</t>
  </si>
  <si>
    <t>LOUÇAS, METAIS E ACESSÓRIOS SANITÁRIOS</t>
  </si>
  <si>
    <t>INSTALAÇÕES ELÉTRICAS</t>
  </si>
  <si>
    <t>UN</t>
  </si>
  <si>
    <t>CJ</t>
  </si>
  <si>
    <t>LÓGICA E TELEFONIA SPDA SISTEMA DE PROTEÇÃO CONTRA INCÊNDIO,INSTALAÇÃO DE GÁS E LIMPEZA FINAL DA OBRA</t>
  </si>
  <si>
    <t>IMPLANTAÇÃO</t>
  </si>
  <si>
    <t>ADMINISTRAÇÃO DA OBRA</t>
  </si>
  <si>
    <t>H</t>
  </si>
  <si>
    <t>QUADRA DE ESPORTES</t>
  </si>
  <si>
    <t>MOVIMENTO DE TERRA E FUNDAÇÕES</t>
  </si>
  <si>
    <t>EUVN.005 PRÓPRIO APILOAMENTO DE SOLO,PARA RECEBIMENTO DE LASTRO COM MAÇO DE 30 KG REF.AGESUL 1701000100</t>
  </si>
  <si>
    <t>REVESTIMENTOS INTERNOS,EXTERNOS E PAVIMENTAÇÃO</t>
  </si>
  <si>
    <t>INSTALAÇÕES ELÉTRICAS E TELEFÔNICAS 110V</t>
  </si>
  <si>
    <t>SERVIÇOS COMPLEMENTARES E FINAIS</t>
  </si>
  <si>
    <t>SALDO CONTRATUAL</t>
  </si>
  <si>
    <t>UNIDADE</t>
  </si>
  <si>
    <t>PROPOSTO</t>
  </si>
  <si>
    <t>EXECUTADO</t>
  </si>
  <si>
    <t>PREÇO UNITÁRIO</t>
  </si>
  <si>
    <t>ITENS</t>
  </si>
  <si>
    <t>COD. SERVIÇO</t>
  </si>
  <si>
    <t>R$ SALDO CONTRATUAL</t>
  </si>
  <si>
    <t>SINAPI0L0PLACA DE OBRA EM CHAPA DE AÇO GALVANIZADO</t>
  </si>
  <si>
    <t>SINAPI 0 73822/002 LIMPEZA MECANICA DE TERRENO COM REMOÇÃO DE CAMADA VEGETAL, UTILIZANDO MOTONIVELADORA</t>
  </si>
  <si>
    <t>SINAPI 0 93207 EXECUÇÃO DE ESCRITÓRIO EM CANTEIRO DE OBRA EM CHAPA DE MADERA COMPENSADA,NÃO INCLUSO MOBILIÁRIO E EQUIPAMENTOS.AF_02/2016</t>
  </si>
  <si>
    <t>SINAPI 0 93208 EXECUÇÃO DE ALMOXARIFADO EM CANTEIRO DE OBRA EM CHAPA DE MADEIRA COMPENSADA,INCLUSO PRATELEIRAS.AF_02/2016</t>
  </si>
  <si>
    <t>SINAPI 0 93211 EXECUÇÃO DE REFEITÓRIO EM CANTEIRO DE OBRA EM ALVENARIA,NÃO INCLUSO MOBILIÁRIO E EQUIPAMENTOS.AF_02/2016</t>
  </si>
  <si>
    <t>SINAPI 0 93213 EXECUÇÃO DE SANITÁRIO EVESTIÁRIO EM CANTEIRO DE OBRA EM ALVENARIA,NÃO INCLUSO MOBILIÁRIO .AF_02/2016</t>
  </si>
  <si>
    <t>SINAPI 72897 0 CARGA MANUAL DE ENTULHO EM CAMINHÃO BASCULANTE 6 M3</t>
  </si>
  <si>
    <t>SINAPI 72887 0 TRANSPORTE COMERCIAL COM CAMINHÃO BASCULANTE 6 M3, RODOVIA PAVIMENTADA</t>
  </si>
  <si>
    <t>EUVN.001 PRÓPRIO 0 LOCAÇÃO MENSAL DE ANDAIME METÁLICO TIPO FACHADEIRO,INCLUSIVE MONTAGEM REF.SINAPI 73618 ( 10/2017 )</t>
  </si>
  <si>
    <t>SINAPI 0 74077/003 LOCAÇÃO CONVENCIONAL DE OBRA,ATRAVÉS DE GABARITO DE TABUAS CORRIDAS PONTALETADAS,COM REAPROVEITAMENTO DE 3 VEZES</t>
  </si>
  <si>
    <t>SINAPI 0 79473 CORTE E ATERRO COMPENSADO</t>
  </si>
  <si>
    <t>EUVN.002 PRÓPRIO 0 FORNECIMENTO DE ATERRO COM TRANSPORTE</t>
  </si>
  <si>
    <t>SINAPI 74005/002 0 COMPACTAÇÃO MECANICA C/CONTROLE DO GC&gt;=95% DO PN (AREAS) (C/MONIVELADORA 140HP E ROLO COMPRESSOR VIBRATORIO 80HP)</t>
  </si>
  <si>
    <t>SINAPI 0 93358 ESCAVAÇÃO MANUAL DE VALAS.AF_03/2016</t>
  </si>
  <si>
    <t>EUVN.003 PRÓPRIO 0 ESCAVAÇÃO E CONCRETAGEM ESTACA TIPO STRAUSS MOLDADA"IN LOCO" D=320 MM 0 REF SETOP ( FUN0STR0015 )</t>
  </si>
  <si>
    <t>EUVN.004 PRÓPRIO 0 LASTRO DE BRITA 02 REF. AGESUL REF.0601003000</t>
  </si>
  <si>
    <t>EUVN.005 PRÓPRIO 0 APILOAMENTO DE SOLO,PARA RECEBIMENTO DE LASTRO COM MAÇO DE 30 KG REF.AGESUL 1701000100</t>
  </si>
  <si>
    <t>EUVN.006 PRÓPRIO 0 FORMA TABUA PARA CONCRETO EM FUNDAÇÃO C/ REAPROVEITAMENTO 5X REF.SINAPI 5651 (08/2017)</t>
  </si>
  <si>
    <t>SINAPI0965440ARMAÇÃO DE BLOCO, VIGA BALDRAME OU SAPATA UTILIZANDO AÇO CA050 DE 6,3MM0MONTAGEM. AF_06/2017</t>
  </si>
  <si>
    <t>SINAPI0965430ARMAÇÃO DE BLOCO, VIGA BALDRAME E SAPATA UTILIZANDO AÇO CA060 DE 5MM0MONTAGEM. AF_06/2017</t>
  </si>
  <si>
    <t>SINAPI074157/0040LANÇAMENTO E APLICAÇÃO DE CONCRETO EM FUNDAÇÕES</t>
  </si>
  <si>
    <t>SINAPI 0 94964 CONRETO FCK = 20MPA,TRAÇO 1:2 , 7:3 ( CIMENTO / AREIA M´DIA /BRITA 1 ) PREPARO MECÂNICO COM BETONEIRA 400 I.AF_07/2016</t>
  </si>
  <si>
    <t>SINAPI 0 96546 ARMAÇÃO DE BLOCO,VIGA BALDRAME OU SAPATA UTILIZANDO AÇO CA 0 50 DE 10 MM 0 MONTAGEM.AF_06/2017</t>
  </si>
  <si>
    <t>SINAPI0927910CORTE E DOBRA DE AÇO CA060, DIÂMETRO DE 5,0 MM, UTILIZADO EM ESTRUTURAIS DIVERSAS, EXCETO LAJES</t>
  </si>
  <si>
    <t>SINAPI 0 74106/001 IMPERMEABILIZAÇÃO DE ESTRUTURAS ENTERRADAS,COM TINTA ASFALTICA ,DUAS DEMÃOS</t>
  </si>
  <si>
    <t>SINAPI0927780ARMAÇÃO DE PILAR OU VIGA DE UMA ESTRUTURA CONVENCIONAL DE CONCRETO ARMADO EM UMA EDIFICAÇÃO TÉRREA OU SOBRADO UTILIZANDO AÇO CA050 DE 10,0MM0MONTAGEM. AF_12/2015</t>
  </si>
  <si>
    <t>SINAPI 0 92779 ARMAÇÃO DE PILAR OU VIGA DE UMA ESTRUTURA CONVENCIONAL DE CONCRETO ARMADO EM UMA EDIFICAÇÃO TÉRREA OU SOBRADO UTILIZANDO AÇO CA050 DE 12,5 MM 0 MONTAGEM.AF_12/2015</t>
  </si>
  <si>
    <t>SINAPI 0 92780 ARMAÇÃO DE PILAR OU VIGA DE UMA ESTRUTURA CONVENCIONAL DE CONCRETO ARMADO EM UMA EDIFICAÇÃO TÉRREA OU SOBRADO UTILIZANDO AÇO CA 0 50 DE 16,0 MM.MONTAGEM.AF_12/2015</t>
  </si>
  <si>
    <t>SINAPI 0 92775 ARMAÇÃO DE PILAR OU VIGA DE UMA ESTRUTURA CONVENCIONAL DE CONCRETO ARMADO EM UMA EDIFICAÇÃO TÉRREA OU SOBRADO UTILIZANDO AÇO CA060 DE 5,0MM 0 MONTAGEM.AF_12/2015</t>
  </si>
  <si>
    <t>SINAPI0927180CONCRETAGEM DE PILARES, FCK=25MPA, COM USO DE BALDES EM EDIFICAÇÃO C/ SEÇÃO MÉDIA DE PILARES MENOR OU IGUAL A 0,25M²0LANÇAMENTO, ADENSAMENTO E ACABAMENTO</t>
  </si>
  <si>
    <t>SINAPI 0 92431 MONTAGEM E DESMONTAGEM DE FORMA DE PILARES RETANGULARES E ESTRUTURAS SIMILARES C/ ÁREA MÉDIA DAS SEÇÕES MAIOR QUE 0,25M²,PÉ0DIREITO SIMPLES,EM CHAPA DE MADEIRA COMPENSADA PLASTIFICADA,10 UTILIZAÇÕES.AF_12/2015</t>
  </si>
  <si>
    <t>SINAPI 0 92776 ARMAÇÃO DE PILAR OU VIGA DE UMA ESTRUTURA CONVENCIONAL DE CONCRETO ARMADO EM UMA EDIFICAÇÃO TÉRREA OU SOBRADO UTILIZANDO AÇO CA 0 50 DE 6,3 MM.MONTAGEM.AF_12/2015</t>
  </si>
  <si>
    <t>SINAPI 0 92777 ARMAÇÃO DE PILAR OU VIGA DE UMA ESTRUTURA CONVENCIONAL DE CONCRETO ARMADO EM UMA EDIFICAÇÃO TÉRREA OU SOBRADO UTILIZANDO AÇO CA050 DE 8,0MM 0 MONTAGEM.AF12/2015</t>
  </si>
  <si>
    <t>SINAPI 0 92773 CONCRETAGEM DE VIGAS E LAJES,FCK=20 MPA,PARA LAJES PRÉ MOLDADAS COM USO DE BOMBA EM EDIFICAÇÃO COM ÁREA MÉDIA DE LAJES MENOR OU IGUAL A 20 M².LANÇAMENTO,ADENSAMENTO E ACABAMENTO.AF_12/2015</t>
  </si>
  <si>
    <t>SINAPI 0 92448 MONTAGEM E DESMONTAGEM DE FÔRMA DE VIGA ,ESCORAMENTO COM PONTALETE DE MADEIRA,PÉ0DIREITO SIMPLES,EM MADEIRA SERRADA,4UTILIZAÇÕES.</t>
  </si>
  <si>
    <t>SINAPI 0 74141/002 LAJE PRÉ 0 MOLD.BETA 12 P/3,5 KN/M² VÃO 4,1M INCL.VIGOTAS TIJOLOS ARMADURA NEGATIVA CAPEAMENTO 3 CM CONCRETO 15 MPA ESCORAMENTO MATERIAIS E MÃO DE OBRA</t>
  </si>
  <si>
    <t>SINAPI 0 93182 VERGA PRÉ0MOLDADA PARA JANELAS COM ATÉ 1,5M DE VÃO.AF_03/2016</t>
  </si>
  <si>
    <t>SINAPI 0 93194 CONTRAVERGA PRÉ0MOLDADA PARA VÃOS DE ATÉ 1,5M DE COMPRIMENTO.AF_03/2016</t>
  </si>
  <si>
    <t>SINAPI 0 93183 VERGA PRÉ MOLDADA PARA JANELAS COM MAS DE 1,5 M DE VÃO.AF_03/2016</t>
  </si>
  <si>
    <t>SINAPI0931950CONTRAVERGA PRÉ0MOLDADA PARA VÃOS DE MAIS DE 1,5M DE COMPRIMENTO. AF_03/2016</t>
  </si>
  <si>
    <t>SINAPI 0 93184 VERGA PRÉ0MOLDADA PARA PORTAS COM ATÉ 1,5M DE VÃO.AF_03/2016</t>
  </si>
  <si>
    <t>SINAPI0931850VERGA PRÉ0MOLDADA PARA PORTAS COM MAIS DE 1,5M DE VÃO. AF_03/2016</t>
  </si>
  <si>
    <t>EUVN.007 PRÓPRIO 0 ESTRUTURA METALICA EM AÇO ESTRUTURAL PERFIL I 12 X 5 1/4 (REF.SINAPI 73970/001)</t>
  </si>
  <si>
    <t>SINAPI 0 94442 TELHAMENTO COM TELHA CERÂMICA DE ENCAIXE, TIPO ROMANA COM ATÉ 2 ÁGUAS, INCLUSO TRANSPORTE VERTICAL AF_06/2016</t>
  </si>
  <si>
    <t>SINAPI 0 94213 TELHADO COM TELHA DE AÇO/ALUMINIO E=0,5 MM,COM ATÉ 2 ÁGUAS,INCLUSO IÇAMENTO.AF_06/2016</t>
  </si>
  <si>
    <t>SINAPI 0 94449 TELHAMENTO COM TELHA ONDULADA DE FIBRA DE VIDRO E=0,6 MM,PARA TELHADO COM INCLINAÇÃO MAIOR QUE 10*,COM ATÉ 2 ÁGUAS,INCLUSO IÇAMENTO.AF_06/2016</t>
  </si>
  <si>
    <t>SISEP 0 94231 RUFO EM CHAPA DE AÇO GALVANIZADO NÚMERO 24,CORTE DE 25CM,INCLUSO TRASPORTE VERTICAL.AF_06/2016</t>
  </si>
  <si>
    <t>SINAPI 0 94221 CUMEEIRA PARA TELHA CERÂMICA EMBOÇADA COM ARGAMASSA TRAÇO 1:2:9 (CIMENTO, CAL E AREIA) PARA TELHADOS COM ATÉ 2 ÁGUAS, INCLUSO TRANSPORTE VERTICAL</t>
  </si>
  <si>
    <t>EUVN.008 PRÓPRIO 0 PORTA DE MADEIRA COMPLETA DE 0,80 M X 2,10 M E COM VISOR DE 20 CM X 110 CM COM CHAPA DE PROTEÇÃO</t>
  </si>
  <si>
    <t>SINAPI 0 91326 KIT DE PORTA DE MADEIRA PARA VERNIZ,SEMI0OCA (LEVE OU MÉDIA),PADRÃO POPULAR,80X210 CM,ESPESSURA DE 3,5 CM,ITENS INCLUSOS:DOBRADIÇAS,MONTAGEM E INSTALAÇÃO DO BATENTE,SEM FECHADURA 0 FORNECIMENTO E INSTALAÇÃO.AF_08/2015</t>
  </si>
  <si>
    <t>EUVN.009 PRÓPRIO 0 KIT DE PORTA PNE COMPLETA DE 0,80MX1,60M COM BARRA DE APOIO DE 40CM X 40CM</t>
  </si>
  <si>
    <t>EUVN.010 PRÓPRIO 0 PORTA DE MADEIRA PARA BANHEIRO,EM CHAPA DE MADEIRA COMPENSADA,REVESTIDA COM LAMINADO TEXTURIZADO,60X160,INCLUSO MARCO E DOBRADIÇAS</t>
  </si>
  <si>
    <t>EUVN.011 PRÓPRIO 0 KIT DE PORTA PNE COMPLETA DE 0,60M X 1,60M COM BARRA DE APOIO DE 40CM X 40CM</t>
  </si>
  <si>
    <t>SINAPI 0 40905 VERNIZ SINTÉTICO EM MADEIRA , DUAS DEMÃOS</t>
  </si>
  <si>
    <t>SINAPI0908300FECHADURA DE EMBUTIR COM CILINDRO, EXTERNA, COMPLETA, ACABAMENTO PADRÃO MÉDIO, INCLUSO EXECUÇÃO DE FURO0FORNECIMENTO E INSTALAÇÃO. AF_08/2015</t>
  </si>
  <si>
    <t>SINAPI 0 91338 PORTA DE ALUMINIO DE ABRIR COM LAMBRI,COM GUARNIÇÃO,FIXAÇÃO COM PAREAFUSOS 0 FORNECIMENTO E INSTALAÇÃO.AF_08/2015</t>
  </si>
  <si>
    <t>EUVN.012 PRÓPRIO 0 JANELA DE ALUMINIO BASCULANTE</t>
  </si>
  <si>
    <t>SINAPI 0 94560 JANELA DE AÇO DE CORRER,2 FOLHAS,FIXAÇÃO COM ARGAMASSA,SEM VIDROS,PADRONIZADA.AF_07/2016</t>
  </si>
  <si>
    <t>SINAPI0945620JANELA DE AÇO DE CORRER, 4 FOLHAS, FIXAÇÃO COM ARGAMASSA, SEM VIDROS, PADRONIZADA. AF_07/2016</t>
  </si>
  <si>
    <t>SINAPI 0 74136/001 PORTA DE AÇO DE ENROLAR TIPO GRADE,CHAPA 16</t>
  </si>
  <si>
    <t>EUVN.013 PRÓPRIO 0 JANELA DE AÇO DE CORRER BASCULANTE 2,20M X 1,75M</t>
  </si>
  <si>
    <t>EUVN.014 PRÓPRIO 0 GUICHÊ ATENDIMENTO DE 0,85M X 1,00M + 0,85M X 1,20M COM JANELA EM ALUMINIO E BALCÃO EM GRANITO</t>
  </si>
  <si>
    <t>SINAPI074145/0010PINTURA ESMALTE FOSCO, 2 DEMÃOS, SOBRE SUPERFÍCIE METÁLICA, INCLUO 1 DEMÃO DE FUNDO ANTICORROSIVO, UTILIZ  DE REVOLVER(AR0COMPRIMIDO)</t>
  </si>
  <si>
    <t>EUVN.015 PRÓPRIO 0 FORNECIMENTO E INSTALAÇÃO DE PORTA DE VIDRO</t>
  </si>
  <si>
    <t>SINAPI 0 84959 VIDRO LISO COMUM TRANSPARENTE,ESPESSURA 6MM</t>
  </si>
  <si>
    <t>EUVN.103 PRÓPRIO 0 TELA DE NYLON</t>
  </si>
  <si>
    <t>SINAPI0875190ALVENARIA DE VEDAÇÃO DE BLOCOS CERÂMICOS FURADOS NA HORIZONTAL DE 9X19X19CM (ESPESSURA 9CM) DE PAREDES CO ÁREA LÍQUIDA MAIOR OU IGUAL A 6M² COM VÃOS E ARGAMASSA DE ASSENTAMENTO COM PREPARO EM BETONEIRA. AF_06/2014</t>
  </si>
  <si>
    <t>SINAPI073937/0010COBOGO DE CONCRETO (ELEMENTO VAZADO), 7X50X50CM, ASSENTADO COM ARGAMASSA TRAÇO 1:4 (CIMENTO E AREIA)</t>
  </si>
  <si>
    <t>ACABAMENTO PISO,PAREDE E TETO 0 ÁREA INTERNA</t>
  </si>
  <si>
    <t>EUVN.016 PRÓPRIO 0 REGULARIZAÇÃO E COMPACTAÇÃO MANUAL DE TERRENO COM SOQUETE 0 REF: 0401001109</t>
  </si>
  <si>
    <t>SINAPI0952410LASTRO DE CONCRETO MAGRO, APLICADO EM PISOS OU PAREDES, ESPESSURA DE 5CM. AF_07/2016</t>
  </si>
  <si>
    <t>SINAPI 0 40780 REGULARIZAÇÃO DE SUPERFICIE DE CONC.APARENTE</t>
  </si>
  <si>
    <t>SINAPI0872510REVESTIMENTO CERÂMICO PARA PISO COM PLACAS TIPO ESMALTADA EXTRA DE DIMENSÕES 45X45CM APLICADA EM AMBIENTES DE ÁREA MAIOR QUE 10M²</t>
  </si>
  <si>
    <t>SINAPI0841910PISO EM GRANILITE, MARMORITE OU GRANITINA ESPESSURA 8MM, INCLUSO JUNTAS DE DILATAÇÃO PLASTICAS</t>
  </si>
  <si>
    <t>SINAPI 0 87879 CHAPISCO APLICADO EM ALVENARIA E ESTRUTURAS DE CONCRETO INTERNAS,COM COLHER DE PEDREIRO.ARGAMASSA TRAÇO 1:3 COM PREPARO EM BETONEIRA 400L.AF_06/2014</t>
  </si>
  <si>
    <t>SINAPI0875270EMBOÇO, PARA RECEBIMENTO DE CERÂMICA, EM ARGAMASSA TRAÇO 1:2:8, PREPARO MECÂNICO COM BETONEIRA 400L, APLICADO MANUALMENTE EM FACES INTERNAS DE PAREDES, PARA AMBIENTE COM ÁREA MENOR QUE 5M², ESPESSURA DE 20MM, COM EXECUÇÃO DE TALISCAS.AF_06/14</t>
  </si>
  <si>
    <t>SINAPI 0 87529 MASSA ÚNICA,PARA RECEBIMENTO DE PINTURA,EM ARGAMASSA TRAÇO 1:2:8,PREPARO MECÂNICO COM BETONEIRA 400L,APLICADA MANUALMENTE EM FACES INTERNAS DE PAREDES,ESPESSURA DE 20MM,COM EXECUÇÃO DE TALISCAS.AF_06/2014</t>
  </si>
  <si>
    <t>SINAPI0884850APLICAÇÃO DE FUNDO SELADOR ACRÍLICO EM PAREDES, UMA DEMÃO</t>
  </si>
  <si>
    <t>SINAPI 0 88489 APLICAÇÃO MANUAL DE PINTURA COM TINTA LÁTEX ACRÍLICA EM PAREDES,DUAS DEMÃOS.AF_06/2014</t>
  </si>
  <si>
    <t>SINAPI0872650REVESTIMENTO CERÂMICO PARA PAREDE INTERNAS COM PLACAS TIPO ESMALTADA EXTRA DE DIMENSÕES 20X20CM APLICADA EM AMBIENTES DE ÁREA MAIOR QUE 5 M² NA ALTURA INTEIRA DAS PAREDES</t>
  </si>
  <si>
    <t>SINAPI 0 87242 REVESTIMENTO CERÂMIICO PARA PAREDES EXTERNAS EM PASTILHAS DE PORCELANA 5 X 5CM ( PLACAS DE 30X30CM ),ALINHADAS A PRUMO,APLICADO EM PANOSCOM VÃOS.AF_06/2014</t>
  </si>
  <si>
    <t>EUVN.017 PRÓPRIO 0 ASSENTAMENTO DE RODAMEIO COM VERNIZ FOSCO</t>
  </si>
  <si>
    <t>SINAPI 0 73850/001 RODAPÉ EM MARMRE,ALTURA 10CM</t>
  </si>
  <si>
    <t>SINAPI 0 88494 APLICAÇÃO E LIXAMENTO DE MASSA LATÉX EM TETO,UMA DEMÃO.AF_06/2014</t>
  </si>
  <si>
    <t>SINAPI 0 88482 APLICAÇÃO DE FUNDO SELADOR LÁTEX PVA EM TETO, UMA DEMÃO.</t>
  </si>
  <si>
    <t>SINAPI0884860APLICAÇÃO MANUAL DE PINTURA C/TINTA LATEX PVA EM  TETO, DUAS DEMAOS. AF_06/2014</t>
  </si>
  <si>
    <t>EUVN.104 PRÓPRIO 0 PEITORIL GRANITO CINZA POLIDO,C/ LARGURA = 17 CM,ESP = 2 CM REF.ORSE ( 1988 )</t>
  </si>
  <si>
    <t>SERVIÇOS GERAIS 0 ÁREA EXTERNA</t>
  </si>
  <si>
    <t>SINAPI 0 87905 CHAPISCO APLICADO EM ALVENARIA (COM PRESENÇA DE VÃOS)E ESTRUTURAS DE CONCRETO DE FACHADA,COM COLHER DE PEDREIRO.ARGAMASSA TRAÇO 1:3 COM PREPARO EM BETONEIRA 400L.AF_06/2014</t>
  </si>
  <si>
    <t>SINAPI 0 87784 EMBOÇO OU MASSA ÚNICA EM ARGAMASSA TRAÇO 1:2:8 PREPARO MECÂNICO COM BETONEIRA 400L,APLICADA MANUALMENTE EM PANOS DE FACHADA COM PRESENÇA DE VÃOS,ESPESSURA DE 45 MM.AF_06/2014</t>
  </si>
  <si>
    <t>EUVN.018 PRÓPRIO 0 RODAPÉ EM ARGAMASSA IMPERMEABILIZADA TRAÇO 1:3 ( CIMENTO E AREIA ),ALTURA 20CM</t>
  </si>
  <si>
    <t>EUVN.019 PRÓPRIO 0 BANCO DE CONCRETO,LARGURA = 40CM,ALTURA = 40CM</t>
  </si>
  <si>
    <t>SINAPI 0 73922/001 PISO CIMENTO TRAÇO 1:3 (CIMENTO E AREIA) ACABAMENTO LISO ESPESSURA 3,5CM, PREPARO MANUAL DA ARGAMASSA</t>
  </si>
  <si>
    <t>SINAPI 0 95240 LASTRO DE CONCRETO MAGRO,APLICADO EM PISOS OU RADIERS,ESPESSURA DE 3CM.AF_07/2016</t>
  </si>
  <si>
    <t>SINAPI 0 95241 LASTRO DE CONCRETO MAGRO,APLICADO EM PISOS OU PAREDES,ESPESSURA DE 5CM.AF_07/2016</t>
  </si>
  <si>
    <t>EUVN.020 PRÓPRIO 0 MASTRO TRIPLICE 0 ANEXO A 0 155 ( S.C )REF.AGESUL 2001003046</t>
  </si>
  <si>
    <t>EUVN.021 PRÓPRIO 0 BRISE FIXO COM LIGAÇÕES DE ALUMINIO E LÂMINAS FIXAS DE ALUMINIO DE 2,65MM DE LARGURA,COR TERRA COTA,FORNECIMENTO E INSTALAÇÃO</t>
  </si>
  <si>
    <t>EUVN.022 PRÓPRIO 0 ABRIGO PARA RESÍDUOS PARA SÓLIDOS EM ALVENARIA DE (7,10X2,00M),EM QUATRO VOLUMES,LIXO CONTAMINADO,ORGÂNICO,RECICLÁVEL E DML,COM DETALHE 0 ANEXO A 0 159.REF.AGESUL 2001003994</t>
  </si>
  <si>
    <t>SINAPI 0 92393 EXECUÇÃO DE PAVIMENTO EM PISO INTERTRAVADO,COM BLOCO SEXTAVADO DE 25 X 25 CM,ESPESSURA 6 CM.AF_12/2015</t>
  </si>
  <si>
    <t>SINAPI 0 89446 TUBO,PVC,SOLDÁVEL,DN 25MM,INSTALADO EM PRUMADA DE ÁGUA 0 FORNECIMENTO E INSTALAÇÃO.AF_12/2014</t>
  </si>
  <si>
    <t>SINAPI0894470TUBO, PVC, SOLDÁVEL, DN 32MM, INSTALADO EM PRUMADA DE ÁGUA0FORNECIMENTO E INSTALAÇÃO</t>
  </si>
  <si>
    <t>SINAPI0894480TUBO, PVC, SOLDÁVEL, DN 40MM, INSTALADO EM PRUMADA DE ÁGUA0FORNECIMENTO E INSTALAÇÃO</t>
  </si>
  <si>
    <t>SINAPI 0 89449 TUBO,PVC,SOLDÁVEL,DN 50MM,INSTALADO EM PRUMADA DE ÁGUA 0 FORNECIMENTO E INSTALAÇÃO.AF_12/2014</t>
  </si>
  <si>
    <t>SINAPI0894500TUBO, PVC, SOLDÁVEL, DN 60MM, INSTALADO EM PRUMADA DE ÁGUA0FORNECIMENTO E INSTALAÇÃO. AF_12/2014</t>
  </si>
  <si>
    <t>SINAPI 0 89451 TUBO,PVC,SOLDÁVEL,DN 75MM,INSTALADO EM PRUMADA DE ÁGUA FORNECIMENTO E INSTALAÇÃO.AF_12/2014</t>
  </si>
  <si>
    <t>SINAPI0894520TUBO, PVC, SOLDÁVEL, DN 85MM, INSTALADO EM PRUMADA DE ÁGUA0FORNECIMENTO E INSTALAÇÃO. AF_12/2014</t>
  </si>
  <si>
    <t>SINAPI0893620JOELHO 90 GRAUS, PVC,  SOLDÁVEL, DN 25MM, INSTALADO EM RAMAL OU SUB0RAMAL DE ÁGUA0FORNECIMENTO E INSTALAÇÃO</t>
  </si>
  <si>
    <t>SINAPI0893660JOELHO 90 GRAUS COM BUCHA DE LATÃO, PVC,  SOLDÁVEL, DN 25MM X 3/4 INSTALADO EM RAMAL OU SUB0RAMAL DE ÁGUA0FORNECIMENTO E INSTALAÇÃO</t>
  </si>
  <si>
    <t>SINAPI0893950TE, PVC, SOLDÁVEL, DN 25MM, INSTALADO EM RAMAL OU SUB0RAMAL DE ÁGUA0FORNECIMENTO E INSTALAÇÃO</t>
  </si>
  <si>
    <t>SINAPI0869140TORNEIRA CROMADA 1/2" OU 3/4" PARA TANQUE, PADRÃO MÉDIO0FORNECIMENTO E INSTALAÇÃO.</t>
  </si>
  <si>
    <t>SINAPI 0 89396 TÊ COM BUCHA DE LATÃO NA BOLSA CENTRAL,PVC,SOLDÁVEL,DN 25MM X 1/2,INSTALADO EM RAMAL OU SUB 0 RAMAL DE ÁGUA 0 FORNECIMENTO E INSTALAÇÃO.AF_12/2014</t>
  </si>
  <si>
    <t>SINAPI 0 89433 LUVA DE REDUÇÃO,PVC,SOLDÁVEL DN 40MM X 32MM,INSTALADO EM RAMAL DE DISTRIBUIÇÃO DE ÁGUA 0 FORNECIMENTO E INSTALAÇÃO.AF_12/2014</t>
  </si>
  <si>
    <t>SINAPI 0 89380 LUVA DE REDUÇÃO,PVC,SOLDÁVEL DN 32MM X 25MM,INSTALADO EM RAMAL OU SUB0RAMAL DE ÁGUA 0 FORNECIMENTO E INSTALAÇÃO.AF_12/2014</t>
  </si>
  <si>
    <t>EUVN.023 PRÓPRIO 0 BUCHA DE REDUÇÃO CURTA ( 50 X 40 MM )REF.AGESUL 1301005025</t>
  </si>
  <si>
    <t>SINAPI 0 89494 CURVA 90 GRAUS,PVC,SOLDÁVEL,DN 32MM,INSTALADO EM PRUMADA DE ÁGUA.FORNECIMENTO E INSTALAÇÃO.AF_12/2014</t>
  </si>
  <si>
    <t>SINAPI 0 89443 TE,PVC,SOLDÁVEL,DN 32MM,INSTALADO EM RAMAL DE DISTRIBUIÇÃO DE ÁGUA 0 FORNECIMENTO E INSTALAÇÃO.AF_12/2014</t>
  </si>
  <si>
    <t>SINAPI 0 89497 JOELHO 90 GRAUS,PVC,SOLDÁVEL,DN 40MM,INSTALADO EM PRUMADA DE ÁGUA 0 FORNECIMENTO E INSTALAÇÃO.AF_12/2014</t>
  </si>
  <si>
    <t>SINAPI 0 89623 TE,PVC,SOLDÁVEL,DN 40MM,INSTALADO EM PRUMADA DE ÁGUA 0 FORNECIMENTO E INSTALAÇÃO.AF_12/2014</t>
  </si>
  <si>
    <t>SINAPI 0 89625 TE,PVC,SOLDÁVEL,DN 50MM,INSTALADO EM PRUMADA DE ÁGUA 0 FORNECIMENTO E INSTALAÇÃO.AF_12/2014</t>
  </si>
  <si>
    <t>SINAPI0895010JOELHO 90º, PVC, SOLDÁVEL, DN 50MM,  INSTALADO EM PRUMADA DE ÁGUA0FORNECIMENTO E INSTALAÇÃO. AF_12/2014</t>
  </si>
  <si>
    <t>SINAPI0895050JOELHO 90 GRAUS, PVC, SOLDÁVEL, DN 60MM, INSTALADO EM PRUMADA DE ÁGUA0FORNECIMENTO E INSTALAÇÃO. AF_12/2014</t>
  </si>
  <si>
    <t>SINAPI 0 896280 TE,PVC,SOLDÁVEL,DN 60MM,INSTALADO EM PRUMADA DE ÁGUA 0 FORNECIMENTO E INSTALAÇÃO.AF_12/2014</t>
  </si>
  <si>
    <t>SINAPI 0 89593 LUVA DE ROSCA,PVC,SOLDÁVEL,DN,50MM X 1 1/2,INSTALADO EM PRUMADA DE ÁGUA 0 FORNECIMENTO E INSTALAÇÃO.AF_12/2014</t>
  </si>
  <si>
    <t>SINAPI0895130JOELHO 90º, PVC, SOLDÁVEL, DN 75MM, INSTALADO EM PRUMADA DE ÁGUA0FORNECIMENTO E INSTALAÇÃO. AF_12/2014</t>
  </si>
  <si>
    <t>SINAPI 0 89611 LUVA,PVC,SOLDÁVEL,DN,75MM,INSTALADO EM PRUMADA DE ÁGUA 0 FORNECIMENTO E INSTALAÇÃO.AF_12/2014</t>
  </si>
  <si>
    <t>SINAPI 0 89629 TE,PVC,SOLDÁVEL,DN 75MM,INSTALADO EM PRUMADA DE ÁGUA 0 FORNECIMENTO E INSTALAÇÃO.AF_12/2014</t>
  </si>
  <si>
    <t>SINAPI 0 896310 TE,PVC,SOLDÁVEL,DN 85MM,INSTALADO EM PRUMADA DE ÁGUA 0 FORNECIMENTO E INSTALAÇÃO.AF_12/2014</t>
  </si>
  <si>
    <t>SINAPI040729 VALVULA DESCARGA 1.1/2" COM REGISTRO, ACABAMENTO EM METAL CROMADO0FORNECIMENTO E INSTALAÇÃO</t>
  </si>
  <si>
    <t>EUVN.024 PRÓPRIO 0 ACABAMENTO ANTIVANDALISMO PARA VALVULADE DESCARGA,DOCOL OU SIMILAR RE.AGESUL 1301004008</t>
  </si>
  <si>
    <t>SINAPI0899870REGISTRO DE GAVETA BRUTO, LATÃO, ROSCÁVEL, 3/4", COM ACABAMENTO E CANOPLA CROMADOS, FORNECIDO E INSTALADO EM RAMAL DE ÁGUA</t>
  </si>
  <si>
    <t>SINAPI 0 89984 REGISTRO DE PRESSÃO BRUTO,LATÃO,ROSCAVEL,1/2",COM ACABAMENTO E CANOPLA CROMADOS.FORNECIMENTO E INSTALAÇÃO EM RAMAL DE ÁGUA .AF012/2014</t>
  </si>
  <si>
    <t>SINAPI 0 89351 REGISTRO DE PRESSÃO BRUTO,ROSCAVEL,3/4"FORNECIDO E INSTALADO EM RAMAL DE ÁGUA.AF_12/2014</t>
  </si>
  <si>
    <t>EUVN.025 PRÓPRIO 0 REGISTRO DE GAVETA COM ACABAMENTO E CANOPLA CROMADOS,SIMPLES BITOLA1"FORNECIMENTO E INSTALAÇÃO.REF.SINAPI 94496</t>
  </si>
  <si>
    <t>SINAPI 0 94496 REGISTRO DE GAVETA BRUTO,LATÃO,ROSCAVEL,1 1/4,INSTALADO EM RESERVAÇÃO DE ÁGUA DE EDIFICAÇÃO QUE POSSUA RESERVATÓRIO DE FIBRA/FIBROCIMENTO FORNECIMENTO E INSTALAÇÃO.AF_06/2016</t>
  </si>
  <si>
    <t>SINAPI 0 92364 TUBO DE AÇO GALVANIZADO COM COSTURA,CLASSE MÉDIA,DN 32(1 1/4"),CONEXÃO ROSQUEADA,INSTALADO EM REDE DE ALIMENTAÇÃO PARA HIDRANTE 0 FORNECIMENTO E INSTALAÇÃO.AF_12/2015</t>
  </si>
  <si>
    <t>SINAPI 0 92384 JOELHO 90 GRAUS,EM FERRO GALVANIZADO,DN 32 (1 1/4"),CONEXÃO ROSQUEADA,INSTALADO EM REDE DE ALIMENTAÇÃO PARA HIDRANTE 0 FORNECIMENTO E INSTALAÇÃO.AF_12/2015</t>
  </si>
  <si>
    <t>SINAPI 0 92383 JOELHO 45 GRAUS,EM FERRO GALVANIZADO,DN 32 (1 1/4"),CONEXÃO ROSQUEADA,INSTALADO EM REDE DE ALIMENTAÇÃO PARA HIDRANTE 0 FORNECIMENTO E INSTALAÇÃO.AF_12/2015</t>
  </si>
  <si>
    <t>SINAPI0926380TÊ, EM FERRO GALVANIZADO, CONEXÃO ROSQUEADA, DN 32 (1 1/4"), INSTALADO EM REDE DE ALIMENTAÇÃO PARA HIDRANTE0FORNECIMENTO E INSTALAÇÃO</t>
  </si>
  <si>
    <t>93358 0 SINAPI 0 ESCAVAÇÃO MANUAL DE VALAS</t>
  </si>
  <si>
    <t>SINAPI 0 93382 REATERRO MANUAL DE VALAS COM COMPACTAÇÃO MECANIZADA.AF_04/2016</t>
  </si>
  <si>
    <t>EUVN.026 PRÓPRIO 0 MOTO 0 BOMBA TRIFÁSICO 0 CENTRIFUGA(DANCOR OU SIMILAR),NA(S)POTENCIA(S)03/4 HP,MOD0240 REF.AGESUL 1301001195</t>
  </si>
  <si>
    <t>EUVN.027 PRÓPRIO 0 CAIXA D'ÁGUA EM FIBRA DE VIDRO 0 INSTALADA,CAP.10.000 LITROS (REF.ORSE 1432)</t>
  </si>
  <si>
    <t>SINAPI074218/0010KIT CAVALETE PVC COM REGISTRO 3/4'' FORNECIMENTO E INSTALAÇÃO.</t>
  </si>
  <si>
    <t>SINAPI 0 95673 HODRÔMETRO DN 20 (12)1,5 M³/H FORNECIMENTO E INSTALAÇÃO.AF_11/2016</t>
  </si>
  <si>
    <t>EUVN.028 PRÓPRIO 0 RESERVATÓRIO DE ÁGUA INTERRADO 0 15000 LITROS</t>
  </si>
  <si>
    <t>83623 0 SINAPI 0 GRELHA DE FERRO FUNDIDO PARA CANALETA LARGURA DE 30 CM, FORNECIMENTO E ASSENTAMENTO</t>
  </si>
  <si>
    <t>SINAPI 0 89512 TUBO PVC,SÉRIE R ,ÁGUA PLUVIAL,DN 100MM,FORNECIDO E INSTALADO EM RAMAL DE ENCAMINHAMENTO.AF_12/2014</t>
  </si>
  <si>
    <t>SINAPI0895800TUBO PVC, SÉRIE R, ÁGUA PLUVIAL, DN 150MM, FORNECIDO E INSTALADO EM CONDUTORES VERTICAIS DE ÁGUAS PLUVIAIS. AF_12/2014</t>
  </si>
  <si>
    <t>EUVN.029 PRÓPRIO0TUBO PVC, SÉRIE R, ÁGUA PLUVIAL, DN 200MM, FORNECIDO E INSTALADO EM CONDUTORES VERTICAIS DE ÁGUAS PLUVIAIS.</t>
  </si>
  <si>
    <t>EUVN.030 PRÓPRIO0TUBO PVC, SÉRIE R, ÁGUA PLUVIAL, DN 250MM, FORNECIDO E INSTALADO EM CONDUTORES VERTICAIS DE ÁGUAS PLUVIAIS.</t>
  </si>
  <si>
    <t>EUVN.031 PRÓPRIO0TUBO PVC, SÉRIE R, ÁGUA PLUVIAL, DN 300MM, FORNECIDO E INSTALADO EM CONDUTORES VERTICAIS DE ÁGUAS PLUVIAIS.</t>
  </si>
  <si>
    <t>EUVN.032 PRÓPRIO 0 CAIXA DE CONTENÇÃO DE ÁGUA PLUVIAL ALTURA = 0,80M / QUADRADA DE LARGURA = 1,40M,COM DECLIVIDADE DE 1%</t>
  </si>
  <si>
    <t>SINAPI0 89711 TUBO PVC, SERIE NORMAL, ESGOTO PREDIAL, DN 40MM, FORNECIDO E INSTALADO EM RAMAL DE DESCARGA OU RAMAL DE ESGOTO SANITARIO. AF_12/2014</t>
  </si>
  <si>
    <t>SINAPI0897120TUBO PVC, SÉRIE NORMAL, ESGOTO PREDIAL, DN 50MM, FORNECIDO E INSTALADO EM RAMAL DE DESCARGA OU RAMAL DE ESGOTO SANITÁRIO</t>
  </si>
  <si>
    <t>SINAPI 0 89713 TUBO PVC,SERIE NORMAL,ESGOTO PREDIAL,DN 75 MM, FORNECIDO E INSTALADO EM RAMAL DE DESCARGA OU RAMAL DE ESGOTO SANITÁRIO.AF_12/2014</t>
  </si>
  <si>
    <t>SINAPI 0 89848 TUBO PVC,SERIE NORMAL,ESGOTO PREDIAL,DN 100MM,FORNECIDO E INSTALADO EM SUBCOLETOR AÉREO DE ESGOTO SANITÁRIO.AF_12/2014</t>
  </si>
  <si>
    <t>SINAPI 0 89849 TUBO PVC,SERIE NORMAL,ESGOTO PREDIAL,DN 150MM,FORNECIDO E INSTALADO EM SUBCOLETOR AÉREO DE ESGOTO SANITÁRIO.AF_12/2014</t>
  </si>
  <si>
    <t>EUVN.033 PRÓPRIO 0 SUMIDOURO EM ALVENARIA DE TIJOLO CERÂMICO MACIÇO DIÂMETRO 1,40M E ALTURA 5,00M,COM TAMPA EM CONCRETO ARMADO DIÂMETRO 1,60M E ESPESSURA 10CM (REF.SINAPI 74198/002)</t>
  </si>
  <si>
    <t>EUVN.034 PRÓPRIO 0 FOSSA SÉPTICA NA(S)DIMENSÃO(ÕES)V=12,00 M³ (TIPO 2) REF.AGESUL 1301005235</t>
  </si>
  <si>
    <t>SINAPI 0 89726 JOELHO 45 GRAUS,PVC,SERIE NORMAL,ESGOTO PREDIAL,DN 40 MM, JUNTA SOLDÁVEL, FORNECIDO E INSTALADO EM RAMAL DE DESCARGA OU RAMAL DE ESGOTO SANITARIO.AF_12/2014</t>
  </si>
  <si>
    <t>SINAPI 0 89782  TE,PVC,SÉRIE NORMAL,ESGOTO PREDIAL,DN 40 X 40 MM,JUNTA SOLDÁVEL,FORNECIDO E INSTALADO EM RAMAL DE DESCARGA OU RAMAL DE ESGOTO SANITÁRIO.AF_12/2014</t>
  </si>
  <si>
    <t>SINAPI0897240JOELHO 90 GRAUS, PVC, SÉRIE NORMAL, ESGOTO PREDIAL, DN 40MM, JUNTA SOLDÁVEL, FORNECIDO E INSTALADO EM RAMAL DE DESCARGA OU RAMAL DE ESGOTO SANITÁRIO</t>
  </si>
  <si>
    <t>SINAPI 0 89783 JUNÇÃO SIMPLES,PVC,SÉRIE NORMAL,ESGOTO PREDIAL,DN 40MM,JUNTA SOLDÁVEL,FORNECIDO E INSTALADO EM RAMAL DE DESCARGA OU RAMAL DE ESGOTO SANITÁRIO.AF_12/2014</t>
  </si>
  <si>
    <t>SINAPI0897310JOELHO 90 GRAUS, PVC, SÉRIE NORMAL, ESGOTO PREDIAL, DN 50MM, FORNECIDO E INSTALADO EM RAMAL DE DESCARGA OU RAMAL DE ESGOTO SANITÁRIO</t>
  </si>
  <si>
    <t>SINAPI0897320JOELHO 45 GRAUS, PVC SERIE NORMAL, ESGOTO PREDIAL, DN 50MM, JUNTA ELÁSTICA, FORNECIDO E INSTALADO EM RAMAL DE DESCARGA OU RAMAL DE ESGOTO SANITÁRIO</t>
  </si>
  <si>
    <t>SINAPI 0 89825 TE,PVC,SERIE NORMAL,ESGOTO PREDIAL,DN 50 X 50 MM,JUNTA ELÁSTICA,FORNECIDO E INSTALADO EM PRUMADA DE ESGOTO SANITÁRIO OU VENTILAÇÃO.AF_12/2014</t>
  </si>
  <si>
    <t>EUVN.035 PRÓPRIO 0 CONEXÕES DE PVC (DA TIGRE,FORTILIT OU SIMILAR),PARA ESGOTO PRIMÁRIO E VENTILAÇÃO,NS(S)ESPECIFICAÇÃO(ÕES)JUNÇÃO SIMPLES COM REDUÇÃO ( 75 X 50 ) MM REF.AGESUL 1301005093</t>
  </si>
  <si>
    <t>SINAPI0895630JUNÇÃO SIMPLES, PVC, SÉRIE R, ÁGUA PLUVIAL, DN 50MM, JUNTA ELÁSTICA, FORNECIDO E INSTALADO EM RAMAL DE ENCAMINHAMENTO. AF_12/2014</t>
  </si>
  <si>
    <t>SINAPI0895490REDUÇÃO EXCÊNTRICA, PVC, SÉRIE R, ÁGUA PLUVIAL, DN 75X50MM, JUNTA ELÁSTICA, FORNECIDO E INSTALADO EM RAMAL DE ENCAMINHAMENTO. AF_12/2014</t>
  </si>
  <si>
    <t>SINAPI 0 89786 TE,PVC,SÉRIE NORMAL,ESGOTO PREDIAL,DN 75 X 75 MM,JUNTA ELÁSTICA,FORNECIDO E INSTALADO EM RAMAL DE ESGOTO SANITÁRIO.AF_12/2014</t>
  </si>
  <si>
    <t>SINAPI 0 89806 JOELHO 45 GRAUS,PVC,SERIE NORMAL,ESGOTO PREDIAL,DN 75 MM,JUNTA ELÁSTICA,FORNECIDO E INSTALADO EM PRUMADA DE ESGOTO SANITÁRIO OU VENTILAÇÃO.AF_12/2014</t>
  </si>
  <si>
    <t>SINAPI 0 89805 JOELHO 90 GRAUS,PVC,SERIE NORMAL,ESGOTO PREDIAL,DN 75 MM,JUNTA ELÁSTICA,FORNECIDO E INSTALADO EM PRUMADA DE ESGOTO SANITARIO OU VENTILAÇÃO.AF_12/2014</t>
  </si>
  <si>
    <t>SINAPI 0 89830 JUNÇÃO SIMPLES,PVC,SÉRIE NORMAL,ESGOTO PREDIAL,DN 75 X 75 MM,JUNTA ELÁSTICA FORNECIDO E INSTALADO EM PRUMADA DE ESGOTO SANITÁRIO OU VENTILAÇÃO.AF_12/2014</t>
  </si>
  <si>
    <t>EUVN.036 PRÓPRIO 0 JUNÇÃO SIMPLES COM REDUÇÃO (100 X 50)MM REF.AGESUL 1301005094</t>
  </si>
  <si>
    <t>SINAPI 0 89851 JOELHO 45 GRAUS,PVC,SERIE NORMAL,ESGOTO PREDIAL,DN 100 MM,JUNTA ELÁSTICA,FORNECIDO E INSTALADO EM SUBCOLETOR AÉREO DE  ESGOTO SANITARIO OU VENTILAÇÃO.AF_12/2014</t>
  </si>
  <si>
    <t>SINAPI 0 89850 JOELHO 90 GRAUS,PVC,SERIE NORMAL,ESGOTO PREDIAL,DN 100 MM,JUNTA ELÁSTICA,FORNECIDO E INSTALADO EM SUBCOLETOR AÉREO DE  ESGOTO SANITARIO OU VENTILAÇÃO.AF_12/2014</t>
  </si>
  <si>
    <t>SINAPI 0 89710 RALO SECO,PVC,DN 100 X 40 MM,JUNTA SOLDÁVEL,FORNECIDO E INSTALADO EM RAMAL DE DESCARGA OU EM RAMAL DE ESGOTO SANITÁRIO.AF_12/2014</t>
  </si>
  <si>
    <t>SINAPI0897090RALO SIFONADO, PVC, DN 100X40MM, JUNTA SOLDÁVEL, FORNECIDO E INSTALADO EM RAMAL DE DESCARGA OU EM RAMAL DE ESGOTO SANITÁRIO</t>
  </si>
  <si>
    <t>EUVN.037 PRÓPRIO 0 CAIXA DE GORDURA 700 L 0 500 REFEIÇÕES 0 ANEXO H.S 0 054 (E) REF.AGESUL 1301005227</t>
  </si>
  <si>
    <t>EUVN.038 PRÓPRIO CAIXA DE INSPEÇÃO EM ALVENARIA DE TIJOLO MACIÇO 60X60X60CM,REVESTIDA INTERNAMENTE COM BARRA LISA (CIMENTO E AREIA,TRAÇO 1:4) E=2,0CM,COM TAMPA PRÉ MOLDADA DE CONCRETO E FUNDO DE CONCRETO 15MPA TIPO C 0 ESCAVAÇÃO E CONFECÇÃO ( REF.SINAPI 7</t>
  </si>
  <si>
    <t>SINAPI0850050ESPELHO CRISTAL, ESPESSURA 4MM, COM PARAFUSOS DE FIXAÇÃO, SEM MOLDURA</t>
  </si>
  <si>
    <t>SINAPI095547 0SABONETEIRA PLASTICA TIPO DISPENSER PARA SABONETE LIQUIDO COM RESERVATORIO 800 A 1500ML, INCLUSO FIXAÇÃO.</t>
  </si>
  <si>
    <t>SINAPI0955440PAPELEIRA DE PAREDE EM METAL CROMADO SEM TAMPA, INCLUSO FIXAÇÃO. AF_10/2016</t>
  </si>
  <si>
    <t>SINAPI 0 86937 CUBA DE EMBUTIR OVAL EM LOUÇA BRANCA,35 X 50CM OU EQUIVALENTE,INCLUSO VÁLVULA EM METAL CROMADO E SIFÃO FLEXIVEL EM PVC 0 FORNECIMENTO E INSTALAÇÃO.</t>
  </si>
  <si>
    <t>EUVN.039 PRÓPRIO 0 TORNEIRA PARA PIA DE ACIONAMENTO HIDROMECÂNICO,COM FECHAMENTO AUTOMÁTICO,ACABAMENTO L.C,PRESSMATIC 120 DE PAREDE,REF.17160706 1/2" E 3/4" DA DOCOL OU SIMILAR REF.AGESUL 1301003064</t>
  </si>
  <si>
    <t>EUVN.040 PRÓPRIO 0 BARRA DE APOIO RETA,EM AÇO INOX POLIDO,COMPRIMENTO 80CM,DIAMETRO MINIMO 3CM REF.AGESUL 2401002000</t>
  </si>
  <si>
    <t>SINAPI0954710VASO SANITÁRIO SIFONADO CONVENCIONAL PARA PCD SEM FURO FRONTAL COM LOUÇA BRANCA SEM ASSENTO0FORNECIMENTO E INSTALAÇÃO. AF_10/2016</t>
  </si>
  <si>
    <t>SINAPI 0 86878 VÁLVULA EM METAL CROMADO TIPO AMERICANA 3.1/2" X 1.1/2" PARA PIA FORNECIMENTO E INSTALAÇÃO.AF_12/2013</t>
  </si>
  <si>
    <t>EUVN.041 PRÓPRIO 0 BARRA DE APOIO RETA,EM AÇO INOX POLIDO,COMPRIMENTO DE 70CM,DIAMETRO MINIMO DE 3CM REF.AGESUL 2401002005</t>
  </si>
  <si>
    <t>SINAPI 0 86940 LAVATÓRIO LOUÇA BRANCA COM COLUNA,45X55CM OU EQUIVALENTE,PADRÃO MÉDIO,INCLUSO SIFÃO TIPO GARRAFA,VÁLVULA E ENGATE FLEXIVEL DE 40CM EM METAL CROMADO,COM APARELHO MISTURADOR PADRÃO MÉDIO0FORNECIMENTO E INSTALAÇÃO.AF_12/2013</t>
  </si>
  <si>
    <t>SINAPI0954700VASO SANITÁRIO SIFONADO CONVENCIONAL COM LOUÇA BRANCA, INCLUSO CONJUNTO DE LIGAÇÃO PARA BACIA SANITÁRIA AJUSTÁVEL0FORNECIMENTO E INSTALAÇÃO</t>
  </si>
  <si>
    <t>SINAPI 0 86875 TANQUE DE MÁRMORE SINTÉTICO COM COLUNA,22L OU EQUIVALENTE FORNECIMENTO E INSTALAÇÃO.AF_12/2013</t>
  </si>
  <si>
    <t>EUVN.042 PRÓPRIO 0 BANCADA DE GRANITO,ESPESSURA DE 2,5CM,INCLUSIVE FRONTÃO DE 7CM / M² REF.AGESUL 2001003023</t>
  </si>
  <si>
    <t>SINAPI 0 9535 0 CHUVEIRO ELETRICO COMUM CORPO PLÁSTICO TIPO DUCHA, FORNECIMENTO E INSTALAÇÃO</t>
  </si>
  <si>
    <t>SINAPI0899850REGISTRO DE PRESSÃO BRUTO, LATÃO, ROSCÁVEL, 3/4", COM ACABAMENTO E CANOPLA CROMADOS. FORNECIMENTO E INSTALADO EM RAMAL DE ÁGUA</t>
  </si>
  <si>
    <t>SINAPI 0 95542 PORTA TOALHA ROSTO EM METAL CROMADO,TIPO ARGOLA,INCLUSO FIXAÇÃO.AF_10/2016</t>
  </si>
  <si>
    <t>SINAPI 0 87242 REVESTIMENTO CERÂMICO PARA PAREDES EXTERNAS EM PASTILHAS DE PORCELANA 5 X 5 CM (PLACAS DE 30 X 30 CM ),ALINHADAS A PRUMO,APLICADO EM PANOS COM VÃOS.AF_06/2014</t>
  </si>
  <si>
    <t>SINAPI 0 96113 FORRO EM PLACAS DE GESSO,PARA AMBIENTES COMERCIAIS.AF_05/2017_P</t>
  </si>
  <si>
    <t>EUVN.043 PRÓPRIO 0 FORNECIMENTO E INSTALAÇÃO DE BALANÇA DE GRANITO 1,88 X 0,50M,INCLUSO 3 CUBAS E 3 TORNEIRAS</t>
  </si>
  <si>
    <t>EUVN.044 PRÓPRIO 0 BANCADA DE GRANITO 0,75 X 0,50M,INCLUSO 1 CUBA E 1 TORNEIRA 0 FORNECIMENTO E INSTALAÇÃO</t>
  </si>
  <si>
    <t>SINAPI0796270DIVISÓRIA EM GRANITO BRANCO POLIDO. ESPESSURA 3CM, ASSENTADO COM ARGAMASSA TRAÇO 1:4 (CIMENTO E AREIA), ARREMATE COM CIMENTO BRANCO, EXCLUSIVE FERRAGENS</t>
  </si>
  <si>
    <t>SINAPI0841610SOLEIRA DE MARMORE BRANCO, LARGURA 15CM, ESPESSURA 3CM, ASSENTADA SOBRE ARGAMASSA TRAÇO 1:4 (CIMENTO E AREIA)</t>
  </si>
  <si>
    <t>EUVN.045 PRÓPRIO 0 PAPELEIRA PLASTICA TIPO DISPENSER PARA PAPEL HIGIÊNICO ROLÃO 0 FORNECIMENTO E INSTALAÇÃO</t>
  </si>
  <si>
    <t>EUVN.046 PRÓPRIO 0 DUCHA HIGIÊNICA COM REGISTRO E GATILHO REF.AGESUL 1301003520</t>
  </si>
  <si>
    <t>SINAPI0872650REVESTIMENTO CERÂMICO PARA PAREDE INTERNAS COM PLACAS TIPO SEMI0GRÊS DE DIMENSÕES 20X20CM APLICADA EM AMBIENTES DE ÁREA MAIOR QUE 5 M² NA ALTURA INTEIRA DAS PAREDES</t>
  </si>
  <si>
    <t>SINAPI 0 74234/001 0MICTORIO SIFONADO DE LOUÇA BRANCA COM PERTENCES, COM REGISTRO DE PRESSÃO 1/2" COM CANOPLA CROMADA ACABAMENTO SIMPLES E CONJUNTO PARA FIXAÇÃO 0 FORNECIMENTO E INSTALAÇÃO</t>
  </si>
  <si>
    <t>EUVN.047 PRÓPRIO 0 BANCO DE ALVENARIA COM ASSENTO EM GRANITO E SUSTENTAÇÃO EM ALVENARIA (2,0 X 0,40M )</t>
  </si>
  <si>
    <t>EUVN.048 PRÓPRIO 0 FORNECIMENTO E INSTALAÇÃO DE BANCO ARTICULADO PARA BANHO,EM AÇO INOX POLIDO,70"CM X 45"CM</t>
  </si>
  <si>
    <t>EUVN.049 PRÓPRIO 0 BARRA DE APOIO EM "L",EM AÇO INOX POLIDO,COMPRIMENTO DE (70 X 70)CM,DIAMETRO MINIMO DE 3CM REF.AGESUL 2401002025</t>
  </si>
  <si>
    <t>EUVN.050 PRÓPRIO 0 POSTO COM TRANSF.TRIF.WEG,TRAFO OU SIM,EM POSTE DUPLO T 10/600KGF,COM CX DE MED.DE DEM.E REAT.CX.P/TC E CHAVE BLIND.EM MURETA DE ALV.(1.1/2 VEZ)MED.(2,00M)CONF.PADRÃO ENERGISA,NA(S)ESPECIF.(ÕES)112,5KVA.REF.AGESUL 1201008014</t>
  </si>
  <si>
    <t>SINAPI074131/004 QUADRO DE DISTRIBUIÇÃO DE ENERGIA DE EMBUTIR, EM CHAPA METALICA, PARA 18 DISJUNTORES TERMOMAGNETICOS MONOPOLARES, COM BARRAMENTO TRIFASICO E NEUTRO, FORNECIMENTO E INSTALAÇÃO</t>
  </si>
  <si>
    <t>SINAPI 74130/004 0 DISJUNTOR TERMOMAGNETICO TRIPOLAR PADRÃO NEMA (AMERICANO) 10 A 50A 240V, FORNECIMENTO E INSTALAÇÃO</t>
  </si>
  <si>
    <t>SINAPI 0 74130/005 0 DISJUNTOR TERMOMAGNETICO TRIPOLAR PADRÃO NEMA (AMERICANO) 60 A 100A 240V, FORNECIMENTO E INSTALAÇÃO</t>
  </si>
  <si>
    <t>SINAPI 0 74130/006 0 DISJUNTOR TERMOMAGNETICO TRIPOLAR PADRÃO NEMA (AMERICANO) 125 A 150A 240V, FORNECIMENTO E INSTALAÇÃO</t>
  </si>
  <si>
    <t>SINAPI0929890CABO DE COBRE FLEXÍVEL ISOLADO, 70 MM², ANTI0CHAMA 450/750V, PARA DISTRIBUIÇÃO0 FORNECIMENTO E INSTALAÇÃO</t>
  </si>
  <si>
    <t>SINAPI 0 92984 CABO DE COBRE FLEXIVEL ISOLADO,25MM²,ANTI0CHAMA 0,6/1,0KV,PARA DISTRIBUIÇÃO 0 FORNECIMENTO E INSTALAÇÃO.AF_12/2015</t>
  </si>
  <si>
    <t>SINAPI0919280CABO DE COBRE FLEXÍVEL ISOLADO, 4 MM², ANTI0CHAMA 450/750V, PARA CIRCUITOS TERMINAIS0FORNECIMENTO E INSTALAÇÃO</t>
  </si>
  <si>
    <t>SINAPI 0 91932 CABO DE COBRE FLEXIVEL ISOLADO ,10MM²,ANTI0CHAMA 450/750V,PARA CIRCUITOS TERMINAIS FORNECIMENTO E INSTALAÇÃO.AF12/2015</t>
  </si>
  <si>
    <t>SINAPI 0 91934 CABO DE COBRE FLEXIVEL ISOLADO,16MM²,ANTI0CHAMA 450/750V, PARA CIRCUITOS TERMINAIS 0 FORNECIMENTO E INSTALAÇÃO.AF_12/2015</t>
  </si>
  <si>
    <t>SINAPI 0 93008 ELETRODUTO RÍGIDO ROSCÁVEL, PVC, DN 50MM ( 1 1/2" ) 0 FORNECIMENTO E INSTALAÇÃO. AF_12/2015</t>
  </si>
  <si>
    <t>SINAPI0930100ELETRODUTO RÍGIDO ROSCÁVEL, PVC, DN 75MM (2 1/2")0FORNECIMENTO E INSTALAÇÃO. AF_12/2015</t>
  </si>
  <si>
    <t>SINAPI 0 93012 ELETRODUTO RIGIDO ROSCÁVEL,PVC,DN 110MM (4")FORNECIMENTO E INSTALAÇÃO.AF_12/2015</t>
  </si>
  <si>
    <t>EUVN.051 PRÓPRIO 0 CAIXA DE PASSAGEM 50X50X60 FUNDO BRITA COM TAMPA ( REF.SINAPI 83448 )</t>
  </si>
  <si>
    <t>EUVN.052 PRÓPRIO 0 LUMINÁRIA DECORATIVA,BASE ALUMINIO FUNDIDO,DIFUSOR ESFERICO EM ACRILICO TRANSPARENTE,COM POSTE METALICO (H=2,50M)INCLUSIVE LAMPADA VAPOR METALICO 150W E REATOR REF.AGESUL 1201001155</t>
  </si>
  <si>
    <t>EUVN.053 PRÓPRIO 0 ARANDELA TARTARUGA TIPO PIRÂMIDE REF.5100 DA GERMANY OU SIMILAR,INCLUSIVE LAMPADA ELETRONICA DE 20W / CJ REF.AGESUL 1201001030</t>
  </si>
  <si>
    <t>SINAPI0918680ELETRODUTO RÍGIDO ROSCÁVEL, PVC, DN 32MM (1"), PARA CIRCUITOS TERMINAIS, INSTALADO EM LAJE0FORNECIMENTO E INSTALAÇÃO. AF_12/2015</t>
  </si>
  <si>
    <t>EUVN.054 PRÓPRIO 0 PROJETOR EM ALUMINIO FUNDIDO,REFLETOR EM ALUM.ALTO BRLHO,LENTEPLANA DE CRISTAL TEMPERADO,ALOJAMENTO PARA REATOR,MOD.433 E027 DA SHOMEI OU SIMILAR,COM UMA LAMPADA VAPOR METALICO DE 150W E REATOR.REF.AGESUL 1201001133</t>
  </si>
  <si>
    <t>EUVN.055 PRÓPRIO 0 FORNECIMENTO E INSTALAÇÃO DE ELETROCALHA DE 50X50X3000</t>
  </si>
  <si>
    <t>74130/001 0 SINAPI 0 DISJUNTOR TERMOMAGNETICO MONOPOLAR PADRÃO NEMA (AMERICANO) 10 A 30A 240V, FORNECIMENTO E INSTALAÇÃO</t>
  </si>
  <si>
    <t>EUVN.056 PRÓPRIO 0 LIMINARIA TIPO SPORT PARA 1 LAMPADA INCANDESCENTE/FLUORESCENTE COMPACTA REF.SINAPI 74094/001(11/2017)</t>
  </si>
  <si>
    <t>SINAPI 0 91937 CAIXA ACTOGONAL 3"X3",PVC,INSTALADA EM LAJE 0 FORNECIMENTO E INSTALAÇÃO.AF_12/2015</t>
  </si>
  <si>
    <t>SINAPI0919670INTERRUPTOR SIMPLES (3 MÓDULOS), 10A/250V, INCLUINDO SUPORTE E PLACA0FORNECIMENTO E INSTALAÇÃO. AF_12/2015</t>
  </si>
  <si>
    <t>SINAPI 0 92872 CAIXA RETANGULAR 4"X4"BAIXA (0,30M DO PISO) METÁLICA,INSTALADA EM PAREDE 0 FORNECIMENTO E INSTALAÇÃO.AF_12/2015</t>
  </si>
  <si>
    <t>SINAPI 0 91926 CABO DE COBRE FLEXIVEL ISOLADO, 2,5 MM², ANTI CHAMA 450/750 V, PARA CIRCUITOS TERMINAIS 0 FORNECIMENTO E INSTALAÇÃO. AF_12/2015</t>
  </si>
  <si>
    <t>EUVN.057 PRÓPRIO 0 LUMINÁRIA TIPO CALHA,DE SOBREPOR,COM REATOR DE PARTIDA RAPIDA E LAMPADA FLUORESCENTE 2X20W,COMPLETA,FORNECIMENTO E INSTALAÇÃO REF.SINAPI 73953/002 ( 11/2017)</t>
  </si>
  <si>
    <t>SINAPI0928670CAIXA RETANGULAR 4"X2" ALTA (2,00M DO PISO), METALICA, INSTALADA EM PAREDE0FORNECIMENTO E INSTALAÇÃO</t>
  </si>
  <si>
    <t>SINAPI0928680CAIXA RETANGULAR 4"X2" MÉDIA (1,30M DO PISO), METALICA, INSTALADA EM PAREDE0FORNECIMENTO E INSTALAÇÃO</t>
  </si>
  <si>
    <t>SINAPI0928690CAIXA RETANGULAR 4"X2" BAIXA (0,30M DO PISO), METALICA, INSTALADA EM PAREDE0FORNECIMENTO E INSTALAÇÃO</t>
  </si>
  <si>
    <t>SINAPI0919530INTERRUPTOR SIMPLES (1 MÓDULO), 10A/250V, INCLUINDO SUPORTE E PLACA0FORNECIMENTO E INSTALAÇÃO</t>
  </si>
  <si>
    <t>SINAPI0919590INTERRUPTOR SIMPLES (2 MÓDULO), 10A/250V, INCLUINDO SUPORTE E PLACA0FORNECIMENTO E INSTALAÇÃO</t>
  </si>
  <si>
    <t>SINAPI 0 91992 TOMADA ALTA DE EMBUTIR (1 MÓDULO),2P+T10A,INCLUINDO SUPORTE PLACA 0 FORNECIMENTO E INSTALAÇÃO.AF_12/2015</t>
  </si>
  <si>
    <t>SINAPI 0 91996 TOMADA MÉDIA DE EMBUTIR ( 1 MÓDULO ),2P + 10A,INCLUINDO SUPORTE E PLACA.FORNECIMENTO E INSTALAÇÃO.AF_12/2015</t>
  </si>
  <si>
    <t>SINAPI0920000TOMADA BAIXA DE EMBUTIR (1 MÓDULO), 2P+T 10A, INCLUINDO SUPORTE E PLACA0FORNECIMENTO E INSTALAÇÃO</t>
  </si>
  <si>
    <t>SINAPI0918670ELETRODUTO RÍGIDO ROSCÁVEL, PVC, DN 25MM (3/4"), PARA CIRCUITOS TERMINAIS, INSTALADO EM LAJE0FORNECIMENTO E INSTALAÇÃO. AF_12/2015</t>
  </si>
  <si>
    <t>SINAPI 0 91871 ELETRODUTO RÍGIDO ROSCAVEL,PVC,DN 25 MM ( 3/4" ),PARA CIRCUITS TERMINAIS,INSTALADO EM PAREDE 0 FORNECIMENTO E INSTALAÇÃO.AF_12/2015</t>
  </si>
  <si>
    <t>SINAPI0957890CONDULENTE DE ALUMÍNIO, TIPO LR, PARA ELETRODUTO DE AÇO GALVANIZADO DN 25MM(1"), APARENTE0FORNECIMENTO E INSTALAÇÃO. AF_11/2016_P</t>
  </si>
  <si>
    <t>SINAPI0957960CONDULENTE DE ALUMÍNIO, TIPO T, PARA ELETRODUTO DE AÇO GALVANIZADO DN 25MM(1"), APARENTE0FORNECIMENTO E INSTALAÇÃO. AF_11/2016_P</t>
  </si>
  <si>
    <t>SINAPI0957500ELETRODUTO DE AÇO GALVANIZADO, CLASSE LEVE, DN 25MM (1), APARENTE, INSTALADO EM PAREDE0FORNECIMENTO E INSTALAÇÃO</t>
  </si>
  <si>
    <t>EUVN.058 PRÓPRIO 0 BLOCO DE ALUM.EMERG.INSCR.DE SAIDA OU BALIZAMENTO SIST.NÃO PERMANENTE,P/ LÂMPADA COMPACTA DE 9W(600 LUMENS) E BATERIA DE 6V04AH,REF.BLOKITO D90BALIZAMENTO DA AUREON OU SIMILAR</t>
  </si>
  <si>
    <t>SINAPI 0 91993 TOMADA ALTA DE EMBUTIR ( 1 MÓDULO ),2P + 20 A,INCLUINDO SUPORTE E PLACA.FORNECIMENTO E INSTALAÇÃO.AF_12/2015</t>
  </si>
  <si>
    <t>SINAPI0920010 TOMADA BAIXA DE EMBUTIR (1 MÓDULO), 2P+T 20A, INCLUINDO SUPORTE E PLACA0FORNECIMENTO E INSTALAÇÃO. AF_12/2015</t>
  </si>
  <si>
    <t>SINAPI0920080TOMADA BAIXA DE EMBUTIR (2 MÓDULOS), 2P+T 10A, INCLUINDO SUPORTE E PLACA0FORNECIMENTO E INSTALAÇÃO. AF_12/2015</t>
  </si>
  <si>
    <t>SINAPI 0 74130/003 0 DISJUNTOR TERMOMAGNETICO BIPOLAR PADRÃO NEMA (AMERICANO) 10 A 50A 240V, FORNECMENTO E INSTALAÇÃO</t>
  </si>
  <si>
    <t>EUVN.059 0 VENTILADOR DE TETO,TIPO COMERCIAL,COM TRÊS PÁS METÁLICAS,PRIMAVERA OU SIMILAR REF.AGESUL 1201007034</t>
  </si>
  <si>
    <t>SINAPI 0 83465 INTERRUPTOR INTERMEDIÁRIO ( FOUR0WAY ) 0 FORNECIMENTO E INSTALAÇÃO</t>
  </si>
  <si>
    <t>SINAPI 0 83371 QUADRO DE DISTRIBUIÇÃO PARA TELEFONE N.2,20X20X12 CM EM CHAPA METÁLICA,DE IMBUTIR,SEM ACESSÓRIOS,PADRÃO TELEBRÁS,FORNECIMENTO E INSTALAÇÃO</t>
  </si>
  <si>
    <t>EUVN.0,60 PRÓPRIO 0 CABO TELEFONICO CI050 10 PARES ( USO INTERNO ) 0 FORNECIMENTO E INSTALAÇÃO REF.SINAPI 0 73768/003</t>
  </si>
  <si>
    <t>SINAPI 0 73768/010 CABO TELEFONICO CCI 0 50 2 PARES ( USO INTERNO ) 0 FORNECIMENTO E INSTALAÇÃO</t>
  </si>
  <si>
    <t>EUVN.061 PRÓPRIO 0 CAIXA METÁLICA COM TAMPA DE ( 30X30X10 CM )UN REF. AGESUL 1201005407</t>
  </si>
  <si>
    <t>EUVN.062 PRÓPRIO 0 CABO UTP 0 CATEGORIA 5.E REF.AGESUL 1201003080</t>
  </si>
  <si>
    <t>EUVN.063 PRÓPRIO 0 TOMADA DE EMBUTIR PARA LÓGICA RJ045 ( FÊMEA ) DA FURUKAWA OU SIMILAR REF.AGESUL 1201002046</t>
  </si>
  <si>
    <t>EUVN.064 PRÓPRIO 0 CAIXA METÁLICA COM TEMPA DE (20X20X10CM)UN.REF.AGESUL 1201005406</t>
  </si>
  <si>
    <t>SINAPI 0 83370 QUADRO DE DISTRIBUIÇÃO PARA TELEFONE N.3,40X40X12CM EM CHAPA METÁLICA,DE EMBUTIR,SEM ACESSÓRIOS,PADRÃO TELEBRÁS,FORNECIMENTO E INSTALAÇÃO</t>
  </si>
  <si>
    <t>EUVN.065 PRÓPRIO 0 FORNECIMENTO E INSTALAÇÃO DE CABO COAXIAL 75 OHMS</t>
  </si>
  <si>
    <t>EUVN.066 PRÓPRIO 0 FORNECIMENTO E INSTALAÇÃO DE RACK DE PISO 24 U COMPLETO</t>
  </si>
  <si>
    <t>EUVN.067 PRÓPRIO 0 FORNECIMENTO E INSTALAÇÃO DE TOMADA DE EMBUTIR PARA ANTENARG6</t>
  </si>
  <si>
    <t>SINAPI 0 91937 CAIXA OCTOGONAL 3"X3",PVC,INSTALADA EM LAJE 0 FORNECIMENTO E INSTALAÇÃO.AF_12/2015</t>
  </si>
  <si>
    <t>EUVN.051 PRÓPRIO 0 CAIXA DE PASSAGEM 50X50X60 FUNDO BRITA C/ TAMPA ( REF.SINAPI 83448</t>
  </si>
  <si>
    <t>EUVN.068 PRÓPRIO 0 CORDOALHA DE COBRE NU,INCLUSIVE ISOLADORES 0 35,00 MM² 0 FORNECIMENTO E INSTALAÇÃO REF.SINAPI 72929 (11/2017)</t>
  </si>
  <si>
    <t>EUVN.069 PRÓPRIO 0 CORDOALHA DE COBRE NU,INCLUSIVE ISOLADORES 0 50,00 MM² FORNECIMENTO E INSTALAÇÃO REF.SINAPI 72930 (11/2017)</t>
  </si>
  <si>
    <t>EUVN.070 PRÓPRIO 0 HASTE COPPERWELD 5/8 X 3,0M COM CONECTOR REF.SINAPI 68069 (11/2017)</t>
  </si>
  <si>
    <t>83446 0 SINAPI 0 CAIXA DE PASSAGEM 30X30X40 COM TAMPA E DRENO BRITA</t>
  </si>
  <si>
    <t>EUVN.071 PRÓPRIO 0 CONEXÃO ATRAVÉS DE SOLDA EXOTERMICA REF.AGESUL 1201006035</t>
  </si>
  <si>
    <t>SINAPI 0 72315 TERMINAL AÉREO EM AÇO GALVANIZADO COM BASE DE FIXAÇÃO H = 30CM</t>
  </si>
  <si>
    <t>EUVN.072 PRÓPRIO 0 SUPORTE ISOLADOR REFORÇADO PARA FIXAÇÃO EM CANTO 90º.REF.PRT 218 DA PARATEC OU SIMILAR REF.AGESUL 1201006014</t>
  </si>
  <si>
    <t>EUVN.073 PRÓPRIO 0 MASTRO SIMPLES DE FERRO GALVANIZADO P/ PARA0RAIOS H = 3,00M INCLUINDO BASE 0 FORNECIMENTO E INSTALAÇÃO REF.SINAPI 83638 (11/2017)</t>
  </si>
  <si>
    <t>EUVN.074 PRÓPRIO 0 CAPTOR TIPO FRANKLIN 350MM,EM LATÃO CROMADO,DUAS DESCIDAS,PARA PROTEÇÃO DE EDIFICAÇÕES CONTRA DESCARGAS ELETRICAS REF.AGESUL 1201006016</t>
  </si>
  <si>
    <t>EUVN.075 PRÓPRIO 0 SINALIZADOR DE OBSTÁCULO SIMPLES,COM FOTOCELULA,PARA 110 V INCLUSIVE LÂMPADA FLUORESCENTE COMPACTA 13 W REF.AGESUL 1201006004</t>
  </si>
  <si>
    <t>EUVN.076 PRÓPRIO 0 CONJUNTO DE ESTAIS COM CORDOALHAS E ESTICADORES,TEL 0 440 DA TERMOTECNICA OU SIMILAR REF.AGESUL 1201006030</t>
  </si>
  <si>
    <t>EUVN.077 PRÓPRIO 0 BRAÇADEIRA COM ROLDANA PARA MASTRO DE 1 1/2" REF.TEL 0 340 DA TERMOTÉCNICA OU SIMILAR REF.AGESUL 1201006026</t>
  </si>
  <si>
    <t>SINAPI072554 EXTINTOR DE CO2 6KG0FORNECIMENTO E INSTALAÇÃO</t>
  </si>
  <si>
    <t>SINAPI0729470SINALIZAÇÃO HORIZONTAL C/ TINTA RETRORREFLETIVA A BASE DE RESINA ACRILICA C/ MICROESFERAS DE VIDRO</t>
  </si>
  <si>
    <t>EUVN.058 PRÓPRIO 0 BLOCO AUTONOMO DE ILUM.EMERG.INSCR.DE SAIDA OU BALIZAMENTO SIST.NÃO PERMANEBTE,P/ LÂMPADA COMPACTA DE 9W (600 LUMENS) E BATERIA DE 6V04AH.REF.BLOKITO 090BALIZAMENTO DA AUREON OU SIMILAR</t>
  </si>
  <si>
    <t>EUVN.078 PRÓPRIO 0 PLACA DE SINALIZAÇÃO DE SEGURANÇA CONTRA INCÊNDIO 0 ALERTA TRIANGULAR,BASE DE *3*CM, EM PVC *2* MM ANTI0CHAMAS (SIMBOLOS,CORES E PICTOGRAMAS CONFORME NBR 13434</t>
  </si>
  <si>
    <t>EUVN.079 PRÓPRIO 0 PLACA DE SINALIZAÇÃO EM ACRILICO ATÉ 240 CM² COM 10 LETRAS,PARA PORTAS REF.AGESUL 2001003044</t>
  </si>
  <si>
    <t>SINAPI0926880TUBO DE AÇO GALVANIZADO COM COSTURA, CLASSE MÉDIA, CONEXÃO ROSQUEADA, DN 20 (3/4"), INSTALADO EM RAMAIS E SUB0RAMAIS DE GÁS0FORNECIMENTO E INSTALAÇÃO</t>
  </si>
  <si>
    <t>SINAPI0927010JOELHO 90 GRAUS, EM FERRO GALVANIZADO, CONEXÃO ROSQUEADA, DN 20 (3/4"), INSTALADO EM RAMAIS E SUB0RAMAIS DE GÁS0FORNECIMENTO E INSTALAÇÃO</t>
  </si>
  <si>
    <t>EUVN.080 PRÓPRIO 0 FITA ADESIVA ANTICORROSIVA DE PVC FLEXIVEL,COR PRETA PROTEÇÃO TUBULAÇÃO,50MM X 30M (LXC),E=*0,25*MM</t>
  </si>
  <si>
    <t>SINAPI 0 95249 VÁLVULA DE ESFERA BRUTA,BRONZE,ROSCAVEL,2/4",INSTALADO EM RESERVAÇÃO DE ÁGUA DE EDIFICAÇÃO QUE POSSUA RESERVATÓRIO DE FIBRA/FIBROCIMENTO0FORNECIMENTO E INSTALAÇÃO.AF_06/2016</t>
  </si>
  <si>
    <t>EUVN.081 PRÓPRIO 0 REGULADOR DE 1º ESTÁGIO DOTADO DE O.P.S.O ( SHUT0OFF) PE 400 KPA</t>
  </si>
  <si>
    <t>EUVN.082 PRÓPRIO 0 REGULADOR DE 2º ESTÁGIO DE 2KG/H REF.ORSE 10882</t>
  </si>
  <si>
    <t>SINAPI073924/0010PINTURA ESMALTE ALTO BRILHO, DUAS DEMAOS, SOBRE SUPERFICIE METALICA</t>
  </si>
  <si>
    <t>SINAPI 0 98228 ESTACA BROCA DE CONCRETO,DIAMETRO DE 20 CM,PROFUNDIDADE DE ATÉ 3 M,ESCAVAÇÃO MANUAL COM TRAÇO CONCHA,NÃO ARMADA.AF_03/2018</t>
  </si>
  <si>
    <t>EUVN.083 PRÓPRIO 0 CORTE E PREPARO EM CABEÇA DE ESTACA</t>
  </si>
  <si>
    <t>74005/001 0 SINAPI 0 COMPACTAÇÃO MECANICA, SEM CONTROLE DO GC (C/ COMPACTADOR PLACA 400 KG)</t>
  </si>
  <si>
    <t>EUVN.004 PRÓPRIO 0 LASTRO DE BRITA 02 REF.AGESUL REF.0601003000</t>
  </si>
  <si>
    <t>EUVN.084 PRÓPRIO 0 FORMA TABUA PARA CONCRETO EM FUNDAÇÃO,COM REAPROVEITAMENTO 2X REF.SINAPI 5970 (08/2017)</t>
  </si>
  <si>
    <t>EUVN.085 PRÓPRIO 0 CONCRETO USINADO BOMBEADO FCK=15MPA,INCLUSIVE LANÇAMENTO E ADENSAMENTO</t>
  </si>
  <si>
    <t>SINAPI 0 92792 CORTE E DOBRA DE AÇO CA050,DIÂMETRO DE 6,3MM,UTILIZANDO EM ESTRUTURAS DIVERSAS,AXCETO LAJES.AF_12/2015</t>
  </si>
  <si>
    <t>SINAPI 0 92794 CORTE E DOBRA DE AÇO CA050,DIÂMETRO DE 10,0MM,UTILIZADO EM ESTRUTURAS DIVERSAS,EXCETO LEJES.AF_12/2015</t>
  </si>
  <si>
    <t>SINAPI 0 92916 ARMAÇÃO DE ESTRUTURAS DE CONCRETO ARMADO,EXCETO VIGAS,PILARES,LAJES E FUNDAÇÕES,UTILIZANDO CA 0 50 DE 6,3MM 0 MONTAGEM.AF012/2015</t>
  </si>
  <si>
    <t>SINAPI 0 92919 ARMAÇÃO DE ESTRUTURAS DE CONCRETO ARMADO,EXCETO VIGAS,PILARES,LAJES E FUNDAÇÕES,UTILIZANDO AÇO CA050 DE 10,0MM 0 MONTAGEM</t>
  </si>
  <si>
    <t>EUVN.086 PRÓPRIO 0 REATERRO DE VALA COM COMPACTAÇÃO MANUAL REF.SINAPI 73964/006 (10/2017)</t>
  </si>
  <si>
    <t>SINAPI 0 74141/002 LAJE PRÉ0MOLD.BETA 12 P/ 3,5KN / M² VÃO 4,1M INCL.VIGOTAS TIJOLOS ARMADURA NEGATIVA CAPEAMENTO 3CM CONCRETO 15MPA ESCORAMENTO MATERIAIS E MÃO DE OBRA</t>
  </si>
  <si>
    <t>SINAPI 0 9225 IMPERMEABILIZAÇÃO DE CALHAS/LAJES DESCOBERTAS,COM EMULSÃO ASFALTICA COM ELASTROMEROS,3 DEMÃOS</t>
  </si>
  <si>
    <t>SINAPI 0 87508 ALVENARIA DE VEDAÇÃO DE BLOCOS CERÂMICOS FURADOS NA HORIZONTAL DE 9X4X19CM (ESPESSURA 9CM)DE PAREDES COM ÁREA LIQUIDA MAIOR OU IGUAL A 6M² SEM VÃOS E ARGAMASSA DE ASSENTAMENTO COM PREPARO MANUALAF_06/2014</t>
  </si>
  <si>
    <t>SINAPI 0 87794 EMBOÇO OU MASSA ÚNICA EM ARGAMASSA TRAÇO 1:2:8 PREPARO MANUAL,APLICADA MANUALMENTE EM PANOS CEGOS DE FACHADA (SEM PRESENÇA DE VÃOS),ESPESSURA DE 25MM.AF_06,2014</t>
  </si>
  <si>
    <t>SINAPI 0 88484 APLICAÇÃO DE FUNDO SELADOR ACRILICO EM TETO,UMA DEMÃO AF_06/2014</t>
  </si>
  <si>
    <t>SINAPI 88488 0 APLICAÇÃO MANUAL DE PINTURA COM TINTA LÁTEX ACRILICA EM TETO, DUAS DEMÃOS</t>
  </si>
  <si>
    <t>SINAPI0884890APLICAÇÃO MANUAL DE PINTURA C/ TINTA LÁTEX ACRILICA EM PAREDES, DUAS DEMÃOS</t>
  </si>
  <si>
    <t>SINAPI 0 74238/002 0 PORTÃO EM TELA ARAME GALVANIZADO N.12 MALHA 2" E MOLDURA EM TUBOS DE AÇO COM DUAS FOLHAS DE ABRIR, INCLUSO FERRAGENS</t>
  </si>
  <si>
    <t>EUVN.016 PRÓPRIO 0 REGULARIZAÇÃO E COMPACTAÇÃO MANUAL DE ATERRO COM SOQUETE 0 REF.0401001109</t>
  </si>
  <si>
    <t>SINAPI 0 72183 PISO EM CONCRETO 20MPA PREPARO MECANICO,ESPESSURA 7 CM,COM ARMAÇÃO EM TELA SOLDADA</t>
  </si>
  <si>
    <t>SINAPI095370LIMPEZA FINAL DA OBRA</t>
  </si>
  <si>
    <t>EUVN.087 PRÓPRIO 0 MURO (H=2,00M)REVESTIDO E PINTADO REF.AGESUL 2001003012</t>
  </si>
  <si>
    <t>EUVN.088 PRÓPRIO 0 GRADIL EM METALON,H=2,00M,INCLUSIVE BROCA DE 25CM (0,80M),PINTURA EM FUNDO ANTICORROSIVO (2 DEMÃOS) E ESMALTE EM 2 DEMÃOS.REF.AGESUL 2001004041</t>
  </si>
  <si>
    <t>EUVN.089 PRÓPRIO 0 PORTÃO EM METALON 0 2 FOLHAS 0 PARA VEICULOS,INCLUSIVE 2 BROCAS DE 25CM (0,80M),PINTURA EM FUNDO ANTICORROSIVO (2 DEMÃOS) E ESMALTE EM 2 DEMÃOS 0 ANEXO A0060 (S.C) REF.AGESUL 2001004046</t>
  </si>
  <si>
    <t>SINAPI 0 68054 PORTÃO DE FERRO EM CHAPA GALVANIZADA PLANA 14 GSG</t>
  </si>
  <si>
    <t>SINAPI 0 74236/001 PLANTIO DE GRAMA BATATAIS EM PLACAS</t>
  </si>
  <si>
    <t>EUVN.004 PRÓPRIO 0 LASTRO DE BRITA 02 REF.AGESUL REF. 0601003000</t>
  </si>
  <si>
    <t>SINAPI 0 94991 EXECUÇÃO DE PASSEIO (CALÇADA) OU PISO DE CONCRETO COM CONCRETO MOLDADO IN LOCO, USINADO,ACABAMENTO CONVENCIONAL,NÃO ARMADO.AF_07/2016</t>
  </si>
  <si>
    <t>EUVN.090 PRÓPRIO 0 PISO TÁTIL,DIRECIONAL EM PLACA CIMENTICIA 40X40X2,5CM,ASSENTADO COM ARGAMASSA TRAÇO 1:3 JUNTA 0,5 CM COM TRAÇO 1:4 REF.AGESUL 2401003015</t>
  </si>
  <si>
    <t>EUVN.091 PRÓPRIO 0 PISO TÁTIL,ALERTA EM PLACA CIMENTICIA 40X40X2,5CM,ASSENTADO COM ARGAMASSA TRAÇO 1:3 JUNTA 0,5 CM COM TRAÇO 1:4 REF.AGESUL 2401003010</t>
  </si>
  <si>
    <t>EUVN.092 PRÓPRIO 0 REBAIXAMENTO DE MEIO0FIO C/ PISO TATIL PARA CALÇADA MAIOR QUE 2,80M</t>
  </si>
  <si>
    <t>SINAPI 0 90777 0 ENGENHEIRO CIVIL DE OBRA JUNIOR COM ENCARGOS COMPLEMENTARES</t>
  </si>
  <si>
    <t>SINAPI 90776 0 ENCARREGADO GERAL COM ENCARGOS COMPLEMENTARES</t>
  </si>
  <si>
    <t>SINAPI 90767 0 APONTADOR OU APROPRIADOR COM ENCARGOS COMPLEMENTARES</t>
  </si>
  <si>
    <t>SINAPI0883260VIGIA NOTURNO C/ ENCARGOS COMPLEMENTARES</t>
  </si>
  <si>
    <t>EUVN.093 PRÓPRIO 0 ESTACA TRADO (BROCA) COM CONCRETO FCK=20,0 MPA,CONTROLE TIPO B,MOLDADA IN LOCO,EXCLUSIVE FERRAGEM,COM O DIÂMETRO DE 25 CM REF.AGESUL 301000105</t>
  </si>
  <si>
    <t>SINAPI 0 94103 LASTRO DE VALA COM PREPARO DE FUNDO,LARGURA MENOR QUE 1,5M,COM CAMADA DE BRITA,LANÇAMENTO MANUAL,EM LOCAL COM NIVEL BAIXO DE INTERFERENCIA.AF_06/2016</t>
  </si>
  <si>
    <t>EUVN.006 PRÓPRIO 0 FORMA TÁBOA PARA CONCRETO EM FUNDAÇÃO COM REAPROVEITAMENTO 5X REF.SINAPI 5651 ( 08/2017 )</t>
  </si>
  <si>
    <t>SINAPI 0 92792 0 CORTE E DOBRA DE AÇO CA050,DIÂMETRO DE 6,3 MM,UTILIZANDO EM ESTRUTURAS DIVERSAS,EXCETO LAJES.AF_12/2015</t>
  </si>
  <si>
    <t>SINAPI 0 94965 CONCRETO FCK = 25MPA,TRAÇO 1:2,3:2,7 ( CIMENTO/AREIA MÉDIA/BRITA 1 ) 0 PREPARO MECÂNICO COM BETONEIRA 400L.AF007/2016</t>
  </si>
  <si>
    <t>SINAPI 0 92799 0 CORTE E DOBRA DE AÇO CA060,DIÂMETRO DE 4,2 MM,UTILIZADO EM LAJE.AF_12/2015</t>
  </si>
  <si>
    <t>SINAPI0927930CORTE E DOBRA DE AÇO CA050, DIÂMETRO DE 8,0 MM, UTILIZADO EM ESTRUTURAS DIVERSAS, EXCETO LAJES</t>
  </si>
  <si>
    <t>SINAPI 92794 0 CORTE E DOBRA DE AÇO CA050,DIÂMETRO DE 10,0 MM,UTILIZADO EM ESTRUTURAS DIVERSAS,EXCETO LAJES.AF_12/2015</t>
  </si>
  <si>
    <t>SINAPI 0 92418 MONTAGEM E DESMONTAGEM DE FORMA DE PILARES RETANGULARES E ESTRUTURAS SIMILARES COM ÁREA MÉDIA DAS SEÇÕES MENOR OU IGUAL A 0,25M²,PÉ0DIREITO SIMPLES,EM CHAPA DE MADEIRA COMPENSADARESINADA 4 UTILIZAÇÕES.AF_12/2015</t>
  </si>
  <si>
    <t>SINAPI 92722 0 CONCRETAGEM DE PILARES,FCK=25 MPA,COM USO DE BOMBA EM EDIFICAÇÃO COM SEÇÃO MÉDIA DE PILARES MAIOR QUE 0,25 M² 0 LANÇAMENTO,ADENSAMENTO E ACABAMENTO AF_12/2015</t>
  </si>
  <si>
    <t>SINAPI  92779 0 ARMAÇÃO DE PILAR OU VIGA DE UMA ESTRUTURA CONVENCIONAL DE CONCRETO ARMADO EM UMA EDIFICAÇÃO TÈRREA OU SOBRADO UTILIZANDO AÇO CA050 DE 12,5 MM 0 MONTAGEM.AF_12/2015</t>
  </si>
  <si>
    <t>SINAPI 84656 0 TRATAMENTO EM CONCRETO COM ESTUQUE E LIXAMENTO</t>
  </si>
  <si>
    <t>SINAPI0875030ALVENARIA DE VEDAÇÃO DE BLOCOS CERÂMICOS FURADOS NA HORIZONTAL DE 9X19X19CM (ESP. 9CM) DE PAREDES COM ÁREA LÍQUIDA MAIOR OU = 6M² SEM VÃOS E ARGAMASSA DE ASS. C REPARO EM BETONEIRA AF_06/2014</t>
  </si>
  <si>
    <t>EUVN.094 PRÓPRIO 0 ARQUIBANCADA DE CONCRETO</t>
  </si>
  <si>
    <t>SINAPI 0 87894 CHAPISCO APLICADO EM ALVENARIA (COM PRESENÇA DE VÃOS)E ESTRUTURAS DE CONCRETO DE FACHADA ,COM EQUIPAMENTO DE PROJEÇÃO.ARGAMASA TRAÇO 1:3 COM PREPARO MANUAL.AF_06/2014</t>
  </si>
  <si>
    <t>SINAPI0884950APLICAÇÃO E LIXAMENTO DE MASSA LÁTEX EM PAREDES, UMA DEMÃO</t>
  </si>
  <si>
    <t>SINAPI079500/0020PINTURA ACRILICA EM PISO CIMENTADO, TRES DEMAOS</t>
  </si>
  <si>
    <t>SINAPI0415950PINTURA ACRILICA DE FAIXAS DE DEMARCAÇÃO EM QUADRA POLIESPORTIVA, 5CM DE LARGURA</t>
  </si>
  <si>
    <t>SINAPI 91937 0 CAIXA OCTOGONAL 3"X3",PVC,INSTALADA EM LAJE 0 FORNECIMENTO E INSTALAÇÃO.AF_12/2015</t>
  </si>
  <si>
    <t>SINAPI 00025398 0 CONJUNTO PARA FUTSAL COM TRAVES OFICIAIS DE 3,00 X 2,00 M EM TUBO DE AÇO GALVANIZADO 3" COM REQUADRO EM TUBO DE 1",PINTURA EM PRIMER COM TINTA ESMALTE SINTETICO E REDES DE POLIETILENO FIO 4 MM</t>
  </si>
  <si>
    <t>SINAPI0000253990CONJUNTO PARA QUADRA DE VOLEI COM POSTES EM TUBO DE AÇO GALVANIZADO 3", H=*255*CM, PINTURA EM TINTA ESMALTE SINTETICO, REDE DE NYLON COM 2MM, MALHA 10X10CM E ANTENAS OFICIAIS EM FIBRA DE VIDRO</t>
  </si>
  <si>
    <t>SINAPI 00025400 0 PAR DE TABELAS DE BASQUETE EM COMPENSADO NAVAL DE *1,80 X 1,20*M,COM ARO DE METAL E REDE (SEM SUPORTE DE FIXAÇÃO)</t>
  </si>
  <si>
    <t>SINAPI0736310GUARDA0CORPO EM TUBO DE AÇO GALVANIZADO 1 1/20</t>
  </si>
  <si>
    <t>SALDO REMANESCENTE</t>
  </si>
  <si>
    <t>CONSTRUÇÃO DA ESCOLA DO VILA NATHALIA</t>
  </si>
  <si>
    <t>BLOCO A</t>
  </si>
  <si>
    <t>BLOCO B</t>
  </si>
  <si>
    <t>BLOCO C</t>
  </si>
  <si>
    <t>BLOCO D</t>
  </si>
  <si>
    <t>BLOCO E</t>
  </si>
  <si>
    <t>BLOCO F</t>
  </si>
  <si>
    <t>BLOCO G</t>
  </si>
  <si>
    <t>PASSARELA A-B</t>
  </si>
  <si>
    <t>PASSARELA A-C</t>
  </si>
  <si>
    <t>'''</t>
  </si>
  <si>
    <t>SINAPI 0 91326 KIT DE PORTA DE MADEIRA PARA VERNIZ,SEMI0OCA (LEVE OU MÉDIA),PADRÃO POPULAR0,90X210 CM,ESPESSURA DE 3,5 CM,ITENS INCLUSOS:DOBRADIÇAS,MONTAGEM E INSTALAÇÃO DO BATENTE,SEM FECHADURA 0 FORNECIMENTO E INSTALAÇÃO.AF_08/2015</t>
  </si>
  <si>
    <t xml:space="preserve">BLOCO A  </t>
  </si>
  <si>
    <t xml:space="preserve">5 un (CONFORME PROJETO PADRÃO FNDE., ESCOLA 12 SALAS, PROJETO ARQUITETONICO, (EST PRANCHA ARQ 02/56 R 02) P 4 </t>
  </si>
  <si>
    <t xml:space="preserve">J5 (1,00 X 0,60)X2=1,2M² (CONFORME PROJETO PADRÃO 12 SALAS, PROJETO AQUITETÔNICO  PRANCHA 02/56 R 2 </t>
  </si>
  <si>
    <t>J11 (3,25 X 1,00)X1= 3,25M² (CONFORME PROJETO PADRÃO 12 SALAS, PROJETO AQUITETÔNICO  PRANCHA 02/56 R 2</t>
  </si>
  <si>
    <t>J13 (0,95 X 1,0)X10= 9,5M²(CONFORME PROJETO PADRÃO 12 SALAS, PROJETO AQUITETÔNICO PRANCHA 02/56 R 2)</t>
  </si>
  <si>
    <t>GUICHE (0,90 X 1,40)X1= 1,26M² (CONFORME PROJETO PADRÃO 12 SALAS, PROJETO AQUITETÔNICO PRANCHA 02/56 R 2)</t>
  </si>
  <si>
    <t>J3 (1,07 X 0,55)X3= 1,77M²(CONFORME PROJETO PADRÃO 12 SALAS, PROJETO AQUITETÔNICO PRANCHA 05/56 R 2)</t>
  </si>
  <si>
    <t>J4-A(2,10 X 0,55)X2= 2,31M² (CONFORME PROJETO PADRÃO 12 SALAS, PROJETO AQUITETÔNICO PRANCHA 05/56 R 2)</t>
  </si>
  <si>
    <t>J4 BASCULANTE(2,15 X 0,55)X7= 8,28M² (CONFORME PROJETO PADRÃO 12 SALAS, PROJETO AQUITETÔNICO PRANCHA 08/56 R 2)</t>
  </si>
  <si>
    <t>J3 BASCULANTE (1,07X 0,55)X3=1,77M²(CONFORME PROJETO PADRÃO 12 SALAS, PROJETO AQUITETÔNICO PRANCHA 08/56 R 2)</t>
  </si>
  <si>
    <t>J2 CORRER/BASCULANTE (1,07 X 1,80)X1= 1,93M²(CONFORME PROJETO PADRÃO 12 SALAS, PROJETO AQUITETÔNICO PRANCHA 08/56 R 2)</t>
  </si>
  <si>
    <t>J1 CORRER/BASCULANTE (2,15 X 1,80) X 7=27,09M²((CONFORME PROJETO PADRÃO 12 SALAS, PROJETO AQUITETÔNICO PRANCHA 08/56 R 2)</t>
  </si>
  <si>
    <t xml:space="preserve">BLOCO D </t>
  </si>
  <si>
    <t>BLOCO E- 1</t>
  </si>
  <si>
    <t>BLOCO E- 2</t>
  </si>
  <si>
    <t>J5 BASCULANTE (1,00 X 0,60) X 5=3,00M²((CONFORME PROJETO PADRÃO 12 SALAS, PROJETO AQUITETÔNICO PRANCHA 11/56 R 2)</t>
  </si>
  <si>
    <t>J6 BASCULANTE (2,85 X 0,60)X1= 1,71M²(CONFORME PROJETO PADRÃO 12 SALAS, PROJETO AQUITETÔNICO PRANCHA11/56  R 2)</t>
  </si>
  <si>
    <t>J7 BASCULANTE(2,48 X 0,60)X1=1,49M²(CONFORME PROJETO PADRÃO 12 SALAS, PROJETO AQUITETÔNICO PRANCHA 11/56 R 2)</t>
  </si>
  <si>
    <t>J8 CORRER (2,10 X 1,40)X1= 2,94M² (CONFORME PROJETO PADRÃO 12 SALAS, PROJETO AQUITETÔNICO PRANCHA 11/56  R 2)</t>
  </si>
  <si>
    <t>J9 CORRER  (0,85X1,40) X 2=2,38M²((CONFORME PROJETO PADRÃO 12 SALAS, PROJETO AQUITETÔNICO PRANCHA 11/56 R 2)</t>
  </si>
  <si>
    <t>J9-BASCULANTE (0,35 X 1,40)X1= 0,49M²(CONFORME PROJETO PADRÃO 12 SALAS, PROJETO AQUITETÔNICO PRANCHA 11/56  R 2)</t>
  </si>
  <si>
    <t>J9-BASCULANTE (0,41 X 1,40)X1= 0,57M²(CONFORME PROJETO PADRÃO 12 SALAS, PROJETO AQUITETÔNICO PRANCHA 11/56  R 2)</t>
  </si>
  <si>
    <t>J10 ENROLAR (1,25 X 1,55)X1= 1,94M²(CONFORME PROJETO PADRÃO 12 SALAS, PROJETO AQUITETÔNICO PRANCHA 11/56  R 2)</t>
  </si>
  <si>
    <t>J1 CORRER/BASCULANTE (2,15 X 1,80) X 8=30,96M²((CONFORME PROJETO PADRÃO 12 SALAS, PROJETO AQUITETÔNICO PRANCHA 14/56 R 2)</t>
  </si>
  <si>
    <t>J3 BASCULANTE (1,07X 0,55)X8=4,71M²(CONFORME PROJETO PADRÃO 12 SALAS, PROJETO AQUITETÔNICO PRANCHA 14/56 R 2)</t>
  </si>
  <si>
    <t>J4 BASCULANTE(2,15 X 1,10)X8= 18,92M² (CONFORME PROJETO PADRÃO 12 SALAS, PROJETO AQUITETÔNICO PRANCHA 14/56 R 2)</t>
  </si>
  <si>
    <t>J3 BASCULANTE (1,07X 0,55)X8=4,71M²(CONFORME PROJETO PADRÃO 12 SALAS, PROJETO AQUITETÔNICO PRANCHA14/56 R 2)</t>
  </si>
  <si>
    <t>J2 CORRER/BASCULANTE (2,15 X 0,55)X4= 4,73M²(CONFORME PROJETO PADRÃO 12 SALAS, PROJETO AQUITETÔNICO PRANCHA 14/56 R 2)</t>
  </si>
  <si>
    <t>J5 BASCULANTE(2,15 X 1,10)X2= 4,73M² (CONFORME PROJETO PADRÃO 12 SALAS, PROJETO AQUITETÔNICO PRANCHA 14/56 R 2)</t>
  </si>
  <si>
    <t>J2 CORRER/BASCULANTE (2,15 X 0,55)X4= 4,73M²(CONFORME PROJETO PADRÃO 12 SALAS, PROJETO AQUITETÔNICO PRANCHA 08/56 R 2)</t>
  </si>
  <si>
    <t>J5 BASCULANTE(1,75 X 1,10)X2= 3,85M² (CONFORME PROJETO PADRÃO 12 SALAS, PROJETO AQUITETÔNICO PRANCHA 14/56 R 2)</t>
  </si>
  <si>
    <t>J1 CORRER/BASCULANTE (2,15 X 1,80) X 8=30,96M²((CONFORME PROJETO PADRÃO 12 SALAS, PROJETO AQUITETÔNICO PRANCHA 17/56  R 2)</t>
  </si>
  <si>
    <t>J3 BASCULANTE (1,07 X 0,55)X8= 4,71M²(CONFORME PROJETO PADRÃO 12 SALAS, PROJETO AQUITETÔNICO PRANCHA 17/56 R 2)</t>
  </si>
  <si>
    <t>J4 BASCULANTE (2,15X 1,10)X8=18,92M²(CONFORME PROJETO PADRÃO 12 SALAS, PROJETO AQUITETÔNICO PRANCHA 17/56 R 2)</t>
  </si>
  <si>
    <t>J1 CORRER/BASCULANTE (0,85 X 0,40) X 2=0,68M²((CONFORME PROJETO PADRÃO 12 SALAS, PROJETO AQUITETÔNICO PRANCHA /56 R 2)</t>
  </si>
  <si>
    <t>J2 CORRER/BASCULANTE (2,44 X 0,40)X2= 1,95M²(CONFORME PROJETO PADRÃO 12 SALAS, PROJETO AQUITETÔNICO PRANCHA /56 R 2)</t>
  </si>
  <si>
    <t>BLOCO E1</t>
  </si>
  <si>
    <t>BLOCO E2</t>
  </si>
  <si>
    <t>TELHAMENTO COM TELHA ONDULADA DE FIBRA DE FIBROCIMENTO E=0,6 MM,PARA TELHADO COM INCLINAÇÃO MAIOR QUE 10*,COM ATÉ 2 ÁGUAS,INCLUSO IÇAMENTO.AF_06/2016</t>
  </si>
  <si>
    <t>P1 ABRIR (0,80X2,10)X2=3,36M²(CONFORME PROJETO PADRÃO 12 SALAS, PROJETO AQUITETÔNICO PRANCHA 2/56 R 2)</t>
  </si>
  <si>
    <t>P4 ABRIR (0,90X2,10)X5=9,45M²(CONFORME PROJETO PADRÃO 12 SALAS, PROJETO AQUITETÔNICO PRANCHA 2/56 R 2)</t>
  </si>
  <si>
    <t>PT1 ABRIR (2,05X2,10)X1=4,305M²(CONFORME PROJETO PADRÃO 12 SALAS, PROJETO AQUITETÔNICO PRANCHA 2/56 R 2)</t>
  </si>
  <si>
    <t>PT2 ABRIR (2,75X2,10)X2=6,95M²(CONFORME PROJETO PADRÃO 12 SALAS, PROJETO AQUITETÔNICO PRANCHA 2/56 R 2)</t>
  </si>
  <si>
    <t>P1  ABRIR/FIXO (1,075X2,10)X3=6,77M²(CONFORME PROJETO PADRÃO 12 SALAS, PROJETO AQUITETÔNICO PRANCHA 5/56 R 2)</t>
  </si>
  <si>
    <t>P1  ABRIR/FIXO (1,075X2,10)X3=6,77M²(CONFORME PROJETO PADRÃO 12 SALAS, PROJETO AQUITETÔNICO PRANCHA 8/56 R 2)</t>
  </si>
  <si>
    <t>P9 CORRER/ABRIR (2,15X2,70)X1=5,805M²(CONFORME PROJETO PADRÃO 12 SALAS, PROJETO AQUITETÔNICO PRANCHA 2/56 R 2)</t>
  </si>
  <si>
    <t>P8 CORRERR/FIXO (5,00X2,70)X=13,51M²(CONFORME PROJETO PADRÃO 12 SALAS, PROJETO AQUITETÔNICO PRANCHA 2/56 R 2)</t>
  </si>
  <si>
    <t>P4 ABRIR (0,90X2,10)X5=9,45M²(CONFORME PROJETO PADRÃO 12 SALAS, PROJETO AQUITETÔNICO PRANCHA 11/56 R 2)</t>
  </si>
  <si>
    <t>P6 ABRIR (0,70x2,10)X3=4,41M²(CONFORME PROJETO PADRÃO 12 SALAS, PROJETO AQUITETÔNICO PRANCHA 11/56 R 2)</t>
  </si>
  <si>
    <t>P8 ABRIR/VENEZIANA (0,90x2,00)X1=1,89M²(CONFORME PROJETO PADRÃO 12 SALAS, PROJETO AQUITETÔNICO PRANCHA 11/56 R 2)</t>
  </si>
  <si>
    <t>P7 CORRER C/TELA E CANO (2,40x2,00)X1=4,80M²(CONFORME PROJETO PADRÃO 12 SALAS, PROJETO AQUITETÔNICO PRANCHA 11/56 R 2)</t>
  </si>
  <si>
    <t>BLOCO E 1</t>
  </si>
  <si>
    <t xml:space="preserve">BLOCO G </t>
  </si>
  <si>
    <t>CIRCULAÇÃO DE ACESSO</t>
  </si>
  <si>
    <t>SAGUÃO DE ENTRADA</t>
  </si>
  <si>
    <t>DIRETORIA</t>
  </si>
  <si>
    <t>SECRETARIA</t>
  </si>
  <si>
    <t>CIRCULAÇÃO CORREDOR</t>
  </si>
  <si>
    <t>MULTIUSO</t>
  </si>
  <si>
    <t>AREA DE BEBEDOURO</t>
  </si>
  <si>
    <t>ALMOXARIFADO</t>
  </si>
  <si>
    <t>COORDENAÇÃO</t>
  </si>
  <si>
    <t>CIRCULAÇÃO DO FUNDO</t>
  </si>
  <si>
    <t xml:space="preserve">AUDITÓRIO MULTIUSO </t>
  </si>
  <si>
    <t>SALA PROFESSOR</t>
  </si>
  <si>
    <t xml:space="preserve">BIBLIOTECA </t>
  </si>
  <si>
    <t>CIRCULAÇÃO</t>
  </si>
  <si>
    <t>REFERENCIA: PROJETO PADRÃO FNDE, ARQ.PRANCHA 2/56 R02(7,75*2,75)</t>
  </si>
  <si>
    <t>REFERENCIA: PROJETO PADRÃO FNDE, ARQ.PRANCHA 2/56 R02(2,6*4,39)</t>
  </si>
  <si>
    <t>REFERENCIA: PROJETO PADRÃO FNDE, ARQ.PRANCHA 2/56 R02(3,05*1,6)</t>
  </si>
  <si>
    <t>REFERENCIA: PROJETO PADRÃO FNDE, ARQ.PRANCHA 2/56 R02(1,85*4,4)</t>
  </si>
  <si>
    <t>REFERENCIA: PROJETO PADRÃO FNDE, ARQ.PRANCHA 2/56 R02(3,46*4,4)</t>
  </si>
  <si>
    <t>REFERENCIA: PROJETO PADRÃO FNDE, ARQ.PRANCHA 2/56 R02(7,43*2,5)</t>
  </si>
  <si>
    <t>SALA DE INFORMÁTICA</t>
  </si>
  <si>
    <t xml:space="preserve">LABORATÓRIO </t>
  </si>
  <si>
    <t>SALA DE GREMIO</t>
  </si>
  <si>
    <t>REFERENCIA: PROJETO PADRÃO FNDE, ARQ.PRANCHA 08/56 (6,45*7,09)+(((5,61+4,82)*0,8)/2)</t>
  </si>
  <si>
    <t>REFERENCIA: PROJETO PADRÃO FNDE, ARQ.PRANCHA 05/56 (2,63*21,95)+((((2,15+1,35)*0,8)/2)*3)</t>
  </si>
  <si>
    <t>REFERENCIA: PROJETO PADRÃO FNDE, ARQ. PRANCHA 08/56 (6,55*4,69)+(((3,21+2,41)*0,8)/2)</t>
  </si>
  <si>
    <t>REFERENCIA: PROJETO PADRÃO FNDE, ARQ.PRANCHA 05/56 (6,58*9,47)+(((7,99+7,19)*0,8)/2)</t>
  </si>
  <si>
    <t>REFERENCIA: PROJETO PADRÃO FNDE, ARQ.PRANCHA05/56 R02   (2,63*21,95)+((((2,15+1,35)*0,8)/2)*2)+(1,08*0,8)</t>
  </si>
  <si>
    <t>REFERENCIA: PROJETO PADRÃO FNDE, ARQ.PRANCHA 05/56 R02 (((8,01+7,21)*0,8)/2)+(9,49*6,58)</t>
  </si>
  <si>
    <t>REFERENCIA: PROJETO PADRÃO FNDE, ARQ.PRANCHA 05/56 R02 ((1*0,8)*2)+(3,5*5,7)+(3,35*0,8)+(5,75*0,15)</t>
  </si>
  <si>
    <t>REFERENCIA: PROJETO PADRÃO FNDE, ARQ.PRANCHA 05/56 R02 (((5,6+4,79)*0,8)/2)+(8,35*6,55)+(1,2*0,8)</t>
  </si>
  <si>
    <t>PLACA DE OBRA EM CHAPA DE AÇO GALVANIZADO</t>
  </si>
  <si>
    <t>PREVER PARA A QUADRA</t>
  </si>
  <si>
    <t>FAZER REBOCO E E PINTURA</t>
  </si>
  <si>
    <t>NÃO EXECUTADO</t>
  </si>
  <si>
    <t>NÃO EXECUTADO, CONFERIR MEDIDAS PROJETO DE IMPLANTAÇÃO</t>
  </si>
  <si>
    <t>EXECUTADO COM EXCEÇÃO DA FRENTE DA ESCOLA</t>
  </si>
  <si>
    <t>PÁTIO COBERTO</t>
  </si>
  <si>
    <t>SALA DE AULA</t>
  </si>
  <si>
    <t>BLOCO E 2</t>
  </si>
  <si>
    <t xml:space="preserve">CIRCULAÇÃO </t>
  </si>
  <si>
    <t>REFERENCIA: PROJETO PADRÃO FNDE, ARQ.PRANCHA 14/56 11/56(((4,81+5,61)*0,8)/2)+(7,09*6,57)</t>
  </si>
  <si>
    <t>REFERENCIA: PROJETO PADRÃO FNDE, ARQ.PRANCHA 14/56 11/56(36,38*2,63)+((((2,14+1,42)*0,8)/2)*4)</t>
  </si>
  <si>
    <t>REFERENCIA: PROJETO PADRÃO FNDE, ARQ.PRANCHA 14/56  11/56(((4,81+5,61)*0,8)/2)+(7,09*6,57)</t>
  </si>
  <si>
    <t>REFERENCIA: PROJETO PADRÃO FNDE, ARQ.PRANCHA 17/56  11/56(((4,81+5,61)*0,8)/2)+(6,57*7,09)</t>
  </si>
  <si>
    <t>REFERENCIA: PROJETO PADRÃO FNDE, ARQ.PRANCHA 17/56 11/56(((4,81+5,61)*0,8)/2)+(6,57*7,09)</t>
  </si>
  <si>
    <t>REFERENCIA: PROJETO PADRÃO FNDE, ARQ.PRANCHA 17/56 11/56(29,04*2,63)+((((2,14+1,42)*0,8)/2)*4)</t>
  </si>
  <si>
    <t>ACRESCENTAR 5% DE TELHAS NOS BLOCOS B,C e E 1 PARA REPOR E SUBSTITUIR TELHAS FURTADAS E QUEBRADAS</t>
  </si>
  <si>
    <t>P1  ABRIR/FIXO (1,075X2,10)X8=18,06M²(CONFORME PROJETO PADRÃO 12 SALAS, PROJETO AQUITETÔNICO PRANCHA 14/56 R 2)</t>
  </si>
  <si>
    <t>P2 ABRIR (0,60x1,80)X4=4,32M²(CONFORME PROJETO PADRÃO 12 SALAS, PROJETO AQUITETÔNICO PRANCHA 14/56 R 2)</t>
  </si>
  <si>
    <t>P4 ABRIR (0,90X2,10)X2=3,78M²(CONFORME PROJETO PADRÃO 12 SALAS, PROJETO AQUITETÔNICO PRANCHA 14/56 R 2)</t>
  </si>
  <si>
    <t>P5 ABRIR/VENEZIANA METALICA (0,70x2,05)X1=1,43M²(CONFORME PROJETO PADRÃO 12 SALAS, PROJETO AQUITETÔNICO PRANCHA 14/56 R 2)</t>
  </si>
  <si>
    <t>P1  ABRIR/FIXO (1,075X2,10)X8=18,06M²(CONFORME PROJETO PADRÃO 12 SALAS, PROJETO AQUITETÔNICO PRANCHA 17/56 R 2)</t>
  </si>
  <si>
    <t>P2 ABRIR (0,60x1,80)X8=8,64M²(CONFORME PROJETO PADRÃO 12 SALAS, PROJETO AQUITETÔNICO PRANCHA 20/56 R 2)</t>
  </si>
  <si>
    <t>P4 ABRIR (0,90X2,10)X2=3,78M²(CONFORME PROJETO PADRÃO 12 SALAS, PROJETO AQUITETÔNICO PRANCHA 20/56 R 2)</t>
  </si>
  <si>
    <t>PORTA PCD SAFONADA (1,40X2,10)X2=5,88M²(CONFORME PROJETO PADRÃO 12 SALAS, PROJETO AQUITETÔNICO PRANCHA 20/56 R 2)</t>
  </si>
  <si>
    <t>8*32KG SALAS AUTIDÓRIO MULTIUSO, PROFESSORES E BIBLIOTECA. REFERENCIA: PROJETO PADRÃO FNDE, ARQ.PRANCHA 05/56 R02</t>
  </si>
  <si>
    <t xml:space="preserve">8*32KG SALAS DE INFORMÁTICA, LABORATÓRIO E GRÊMIO. REFERENCIA: PROJETO PADRÃO FNDE, ARQ.PRANCHA 05/56 R02 </t>
  </si>
  <si>
    <t>8*32KG SALAS DE AULA. REFERENCIA: PROJETO PADRÃO FNDE, ARQ.PRANCHA 05/56 R02</t>
  </si>
  <si>
    <t>CONTRAPISO DE CONCRETO</t>
  </si>
  <si>
    <t>.</t>
  </si>
  <si>
    <t>Observação</t>
  </si>
  <si>
    <t>BLOCO TECNOLÓGICO  B</t>
  </si>
  <si>
    <t>BLOCO TECNOLÓGICO  C</t>
  </si>
  <si>
    <t>PÁTIO</t>
  </si>
  <si>
    <t>BLOCO PEDAGÓGICO F</t>
  </si>
  <si>
    <t>Banco 1</t>
  </si>
  <si>
    <t>Banco 2</t>
  </si>
  <si>
    <t>Banco 3</t>
  </si>
  <si>
    <t xml:space="preserve">PILARES DE CANTO </t>
  </si>
  <si>
    <t>parede externas das salas descontando as portas</t>
  </si>
  <si>
    <t>BLOCO PEDAGÓGICA E1</t>
  </si>
  <si>
    <t>BANCO 1</t>
  </si>
  <si>
    <t>BANCO 2</t>
  </si>
  <si>
    <t>BANCO 3</t>
  </si>
  <si>
    <t>BANCO 4</t>
  </si>
  <si>
    <t>parede externa BANHEIRO</t>
  </si>
  <si>
    <t>BLOCO PEDAGÓGICO E2</t>
  </si>
  <si>
    <t>placas de 10x10</t>
  </si>
  <si>
    <t>B-AUDITORIO</t>
  </si>
  <si>
    <t>B- PROFESSORES</t>
  </si>
  <si>
    <t>B- BIBLIOTECA</t>
  </si>
  <si>
    <t>C-INFORMATICA</t>
  </si>
  <si>
    <t>C-LABORATORIO</t>
  </si>
  <si>
    <t>C-GREMIO</t>
  </si>
  <si>
    <t>D-PATIO</t>
  </si>
  <si>
    <t>E1-SALAS</t>
  </si>
  <si>
    <t>E2-SALAS</t>
  </si>
  <si>
    <t>F-SALAS</t>
  </si>
  <si>
    <t>D-COZINHA</t>
  </si>
  <si>
    <t>E-SANITARIO</t>
  </si>
  <si>
    <t>E-BEBEDOURO</t>
  </si>
  <si>
    <t>G-VESTIARIO</t>
  </si>
  <si>
    <t>LEVANTAMENTO(7,35+8,35+7,35+2,76+1,13+4,79)-5,75-1,075</t>
  </si>
  <si>
    <t>LEVANTAMENTO(7,35+3,37+7,35+1+0,8+1,38+0,8+1+0,8+0,15+0,15)-5,75-1,075</t>
  </si>
  <si>
    <t>LEVANTAMENTO(6,55+2,27+0,47+0,15+0,47+2,25+0,47+0,15+0,47+2,25+0,47+0,15+0,47+2,27+7,35+7,21+1,13+1,48)-1,075-2,15</t>
  </si>
  <si>
    <t>LEVANTAMENTO(6,45+7,09+7,35+4,82+1,12+1,48)-1,075</t>
  </si>
  <si>
    <t>LEVANTAMENTO(6,58+9,47+7,35+7,19+1,13+1,48)-1,075</t>
  </si>
  <si>
    <t>LEVANTAMENTO(7,35+4,69+6,55+1,46+1,13+2,41)-1,075</t>
  </si>
  <si>
    <t>LEVANTAMENTO(18,12*12,45)</t>
  </si>
  <si>
    <t>LEVANTAMENTO(4,81+7,37+7,08+6,57+1,48+1,13+4,81)-1,075</t>
  </si>
  <si>
    <t>LEVANTAMENTO5,2+0,4+5,2+0,4</t>
  </si>
  <si>
    <t>LEVANTAMENTO7,6+0,4+7,6+0,4</t>
  </si>
  <si>
    <t>LEVANTAMENTO(0,12+0,5+0,12+0,5)+(0,12+0,5+0,12+0,5)</t>
  </si>
  <si>
    <t>LEVANTAMENTO((0,12+0,37+4,87+1,13+1,42+0,64+0,08+0,16)-1,075)+((5,06+1,13+1,42+0,64+0,08+0,16)-1,075)+((5,06+1,13+1,42+0,64+0,08+0,16)-1,075)+((5,06+1,13+1,42+1,17+0,12)-1,075)</t>
  </si>
  <si>
    <t>LEVANTAMENTO5,35+0,4+5,35+0,4</t>
  </si>
  <si>
    <t>LEVANTAMENTO((0,8+1,42+1,13+5,06)-1,075)+((0,8+1,42+1,13+5,06)-1,075)+((0,8+1,42+1,13+5,06)-1,075)+((0,8+1,42+1,13+4,87+0,37+0,12)-1,075)</t>
  </si>
  <si>
    <t>CONFORME PROJETO ARQ 13/56  R02
12,00*25,40</t>
  </si>
  <si>
    <t>CONFORME PROJETO ARQ  16/56 R02
10,26*36,26</t>
  </si>
  <si>
    <t>CONFORME PROJETO ARQ  2/56 R02
12*14,40</t>
  </si>
  <si>
    <t>REFERENCIA: PROJETO PADRÃO FNDE, ARQ. PRANCHA 2/56 R 02 (6,95*2,75)</t>
  </si>
  <si>
    <t>REFERENCIA: PROJETO PADRÃO FNDE, ARQ. PRANCHA 2/56 R02 (2,5*12,11)+(2*4,6)</t>
  </si>
  <si>
    <t>REFERENCIA: PROJETO PADRÃO FNDE, ARQ.PRANCHA 2/56 R02 (3,07*3,55)+(1,05*0,85)</t>
  </si>
  <si>
    <t>REFERENCIA: PROJETO PADRÃO FNDE, ARQ.PRANCHA 2/56 R02 (6,74*3,55)+(4,72*0,85)</t>
  </si>
  <si>
    <t>REVESTIMENTO CERAMICO 40X40, PEI 5</t>
  </si>
  <si>
    <t>REFERENCIA: PROJETO PADRÃO FNDE, ARQ.PRANCHA 20/56 R 2 (4,83X5,26X2)</t>
  </si>
  <si>
    <t>(CIRCULAÇÃO), NÃO EXECUTADO</t>
  </si>
  <si>
    <t>FECHAMENTO COM VENEZIANA PARA VENTILAÇÃO, ENTRE A DIFERENÇA DE ALTURA DOS TELHADOS. BLOCO D, e BLOCO A</t>
  </si>
  <si>
    <t xml:space="preserve">PROJETO ARQ. PRANCHA 12/56 BLOCO D
23,04*0,36*2
PROJETO ARQ. PRANCHA 3/56 BLOCO A
14,64*0,36*2 </t>
  </si>
  <si>
    <t>PASSARELA  B- E1 e F</t>
  </si>
  <si>
    <t xml:space="preserve">PASSARELA  C- E2 </t>
  </si>
  <si>
    <t>PASSARELA  E2 e D</t>
  </si>
  <si>
    <t xml:space="preserve">PASSARELA COM INICIO DA QUADRA ATÉ O BLOCO E1 </t>
  </si>
  <si>
    <t>PASSARELA ENTRE OS BLOCOS E1 e F</t>
  </si>
  <si>
    <t>CIRCULAÇÃO BLOCO A</t>
  </si>
  <si>
    <t>CONFORME PROJETO ARQ  2/56 R02
7,20*2,75</t>
  </si>
  <si>
    <t>((7,20*2,75)+(12*14,4)+(12*25,4)+(10,26*36,26)+(10,26*28,8))</t>
  </si>
  <si>
    <t>COBERTURA ENTRE O BLOCO A e O BLOCO D</t>
  </si>
  <si>
    <t>CONFORME PROJETO ARQ 13/56  R02
4,80*2,75</t>
  </si>
  <si>
    <t>CONFORME PROJETO ARQ  19/56 R02
10,26*28,80</t>
  </si>
  <si>
    <t>DETALHE PROJETO ARQ. 31/56</t>
  </si>
  <si>
    <t>ATERRO COMPACTADO</t>
  </si>
  <si>
    <t>CONTRAPISO</t>
  </si>
  <si>
    <t xml:space="preserve">BLOCO D  </t>
  </si>
  <si>
    <t xml:space="preserve">BLOCO F  </t>
  </si>
  <si>
    <t>PROJETO PADRÃO FNDE, ARQ.20/56
ALVENARIA
WC MASC.:((0,17+1,00)*2,40)*3+1,20*2,60
WC FEM.:((0,17+1,00)*2,40)*3+1,20*2,60</t>
  </si>
  <si>
    <t>PROJETO VER IN LOCO</t>
  </si>
  <si>
    <t>ESTACAS ESCAVADAS DA PASSARELA</t>
  </si>
  <si>
    <t>4195+6300+5260+4065</t>
  </si>
  <si>
    <t xml:space="preserve">PROJETO DE ESTRUTUTA METALICA, PRANCHA 8/30
(10,90*0,35*2)*2
</t>
  </si>
  <si>
    <t>CHAPA DE FECHAMENTO DE AÇO PRETA #16, 1,52mm,</t>
  </si>
  <si>
    <t xml:space="preserve">PROJETO DE ESTRUTUTA METALICA, PRANCHA 12/30
(10,90*0,35*2)*2
</t>
  </si>
  <si>
    <t xml:space="preserve">PROJETO DE ESTRUTUTA METALICA, PRANCHA 20/30
(10,90*0,35*2)*2
</t>
  </si>
  <si>
    <t xml:space="preserve">CHAPA DE FECHAMENTO NÃO ENCONTRADA NA LISTA DE MATERIAS DO PROJETO DE ESTRUTURA METALICA </t>
  </si>
  <si>
    <t xml:space="preserve">PROJETO ARQUITETONICO, PRANCHA 4/56((5,01*2+2,40)*0,60)*2) </t>
  </si>
  <si>
    <t>4065,00 KG (CONFORME PROJETO PADRÃO FNDE., ESCOLA 12 SALAS, PROJETO ESTRTURA METÁLICA, (EST PRANCHA 58/58. R 03)</t>
  </si>
  <si>
    <t>5260,00KG(CONFORME PROJETO PADRÃO FNDE., ESCOLA 12 SALAS, PROJETO ESTRTURA METÁLICA, (EST PRANCHA 20/30. R 03)</t>
  </si>
  <si>
    <t>6300,00 KG  (CONFORME PROJETO PADRÃO FNDE., ESCOLA 12 SALAS, PROJETO ESTRTURA METÁLICA, (EST PRANCHA 16/30. R 03)</t>
  </si>
  <si>
    <t>4195,00 KG (CONFORME PROJETO PADRÃO FNDE., ESCOLA 12 SALAS, PROJETO ESTRTURA METÁLICA, ( PRANCHA 04/30. R 03)</t>
  </si>
  <si>
    <t>BLOCO  F</t>
  </si>
  <si>
    <t xml:space="preserve">PROJETO ARQUITETONICO, PRANCHA 3/56 ((5,01*2+2,40)*0,60)*2) </t>
  </si>
  <si>
    <t xml:space="preserve">PROJETO DE ESTRUTUTA METALICA, PRANCHA 24/30
(10,90*0,35*2)*2
</t>
  </si>
  <si>
    <t>(((3,6*3,6)*9)+55,40*3,6)</t>
  </si>
  <si>
    <t>J4 (2,15 X 0,55)X3=3,55M² (CONFORME PROJETO PADRÃO 12 SALAS, PROJETO AQUITETÔNICO PRANCHA 05/56 R 2)</t>
  </si>
  <si>
    <t>J1 (2,15 X 1,80) X 7=27,09M² ((CONFORME PROJETO PADRÃO 12 SALAS, PROJETO AQUITETÔNICO PRANCHA 05/56 R 2)</t>
  </si>
  <si>
    <t>PORTAS</t>
  </si>
  <si>
    <t>PROJETO ARQ, PRANCHA 23/56
1,60*2+1,60*4+6,00*4+25,58+4,8</t>
  </si>
  <si>
    <t>PROJETO ARQ, PRANCHA 04/56
1,60*2+1,60*4+6,00*4+7,20+16,15</t>
  </si>
  <si>
    <t>PROJETO ARQ, PRANCHA 07/56
7,16*2+5,32*2</t>
  </si>
  <si>
    <t>PROJETO ARQ, PRANCHA 10/56
7,16*2+5,32*2</t>
  </si>
  <si>
    <t>PROJETO ARQ, PRANCHA 16/56
5,24*2+7,16*2</t>
  </si>
  <si>
    <t>PROJETO ARQ, PRANCHA 16/56
5,24*2+7,16*2+37,94</t>
  </si>
  <si>
    <t>GRADIL DAS ESQUADRIAS  DO BLOCO D</t>
  </si>
  <si>
    <t>JANELAS</t>
  </si>
  <si>
    <t>J3 BASCULANTE (4,82X 0,40)X2=3,86M²(CONFORME PROJETO PADRÃO 12 SALAS, PROJETO AQUITETÔNICO PRANCHA /56 R 2)</t>
  </si>
  <si>
    <t xml:space="preserve">m² </t>
  </si>
  <si>
    <t>m²</t>
  </si>
  <si>
    <t>m</t>
  </si>
  <si>
    <t>J9-1-BASCULANTE (0,35 X 1,40)X1= 0,49M²(CONFORME PROJETO PADRÃO 12 SALAS, PROJETO AQUITETÔNICO PRANCHA 11/56  R 2)</t>
  </si>
  <si>
    <t>J9-2-BASCULANTE (0,41 X 1,40)X1= 0,57M²(CONFORME PROJETO PADRÃO 12 SALAS, PROJETO AQUITETÔNICO PRANCHA 11/56  R 2)</t>
  </si>
  <si>
    <t>P3 ABRIR/PCD (0,80x1,80)X2=2,88M²(CONFORME PROJETO PADRÃO 12 SALAS, PROJETO AQUITETÔNICO PRANCHA 14/56 R 2)</t>
  </si>
  <si>
    <t>P3 ABRIR PCD (0,80x1,80)X2=2,88M²(CONFORME PROJETO PADRÃO 12 SALAS, PROJETO AQUITETÔNICO PRANCHA 20/56 R 2)</t>
  </si>
  <si>
    <t>PROJETO ARQ. PRANCHA 01/56 R 02
(3,6*3,6)*2 (2 MÓDULO)</t>
  </si>
  <si>
    <t>PROJETO ARQ. PRANCHA 01/56 R 02
(3,6*3,6) (1 MÓDULO)</t>
  </si>
  <si>
    <t>PROJETO ARQ. PRANCHA 01/56 R 02
(3,6*3,6), (1 MÓDULO)</t>
  </si>
  <si>
    <t>PROJETO ARQ. PRANCHA 01/56 R 02
3,6*3,6*3 (3 MÓDULO)</t>
  </si>
  <si>
    <t>PROJETO ARQ. PRANCHA 01/56 R 02
55,40*3,6(15 MÓDULO)</t>
  </si>
  <si>
    <t>BANCO DA PASSARELA DE ALVENARIA 40CM DE ALTURA , 40CM DE LARGURA</t>
  </si>
  <si>
    <t>EMBOÇO</t>
  </si>
  <si>
    <t>ENTRADA PRINCIPAL</t>
  </si>
  <si>
    <t xml:space="preserve">EXECUTAR 100% DE GRANILITE NO BLOCO A </t>
  </si>
  <si>
    <t>1- POLIMENTO
2- APLICAÇÃO DE ESTUQUE COM NATA DE CIMENTO
3- POLIMENTO DE ACABAMENTO
4- APLICAÇÃO DE RESINA A BASE DE ÁGUA.</t>
  </si>
  <si>
    <t>REFERENCIA: PROJETO PADRÃO FNDE, ARQ.PRANCHA 11/56 (18,12*12,45)</t>
  </si>
  <si>
    <t>EXECUTAR 100% DE GRANILITE NO BLOCO A</t>
  </si>
  <si>
    <t>ESQUADRIAS JANELAS</t>
  </si>
  <si>
    <t>ESQUADRIAS PORTAS</t>
  </si>
  <si>
    <t xml:space="preserve"> PISO ENTRE O BLOCO E-2 e BLOCO D.PROJETO PADRÃO FNDE, ARQ.PRANCHA 01/56 R02
46,22*16,35 </t>
  </si>
  <si>
    <t xml:space="preserve"> PISO ENTRE O BLOCO D e BLOCO F.PROJETO PADRÃO FNDE, ARQ.PRANCHA 01/56 R02
3,075*45,77</t>
  </si>
  <si>
    <t xml:space="preserve"> PISO ENTRE O BLOCO F e BLOCO E- 1.PROJETO PADRÃO FNDE, ARQ.PRANCHA 01/56 R02
4,47*45,60</t>
  </si>
  <si>
    <t xml:space="preserve">PASSARELA (PROJETO DE IMPLANTAÇÃO ARQ 01/56) 
(3,6*3,6)*25 MODULOS
 </t>
  </si>
  <si>
    <t xml:space="preserve">BLOCO G (PROJETO ARQ 20/56 )
VESTIARIO FEMININO= 25,40M²
VESTIARIO MASCULINO= 25,40M²
 </t>
  </si>
  <si>
    <t xml:space="preserve">BLOCO D (PROJETO ARQ 11/56)
PATIO COBERTO= 225,08M²
DISPENSA=14,80M²
COZINHA= 31,20M²
AREA DE SERVIÇO= 8,35M²
AREA DE SERVIÇO= 7,22M² </t>
  </si>
  <si>
    <t xml:space="preserve">BLOCO A (PROJETO ARQ 02/56)
DIRETORIA =12M²
WC FEM= 4,65 M² 
WC MASC=4,65M²
ALMOXARIFADO= 8,20M²
COORDENAÇÃO= 15,27M²
SALA MULTIUSO=11,33M²
SECRETARIA= 27,83M²
CIRCULAÇÃO= 29,50M²
CIRCULAÇÃO= 12,72M²
SAGUÃO DE ENTRADA=38,00M²
CIRCULAÇÃO= 24,53M² 
</t>
  </si>
  <si>
    <t>CALÇADA EM CONCRETO</t>
  </si>
  <si>
    <t>PROJETO PADRÃO FNDE, ARQ.03/56
2,00*1,20*2 FACHADAS</t>
  </si>
  <si>
    <t xml:space="preserve">REFERENCIA: PROJETO PADRÃO FNDE, ARQ.PRANCHA 11/56 
DISPENSA 2,79*5,25
COZINHA 5,91*5,25
AREA DE SERVIÇO 1,70*3,93
CHUVEIRO 1,00*1,20
SANITARIO 1,00*1,24
DML1,72*1,15
CIRCULAÇÃO ENTRE CHUVEIRO E SANITARIO1,15*1,00
CIRCULÇÃO   ENTRA DA DA AREA DE SERVIÇO1,32*0,98 </t>
  </si>
  <si>
    <t xml:space="preserve"> PAREDE RECEBERA REVESTIMENTO CERAMICO
DIVISA DOS SANITARIOS  </t>
  </si>
  <si>
    <t>LASTRO DE BRITA</t>
  </si>
  <si>
    <t>RODAPE DE GRANILITE</t>
  </si>
  <si>
    <t>m³</t>
  </si>
  <si>
    <t>(6,95*2,75)</t>
  </si>
  <si>
    <t>(2,5*12,11)+(2*4,6)</t>
  </si>
  <si>
    <t>(3,07*3,55)+(1,05*0,85)</t>
  </si>
  <si>
    <t>(6,74*3,55)+(4,72*0,85)</t>
  </si>
  <si>
    <t>(7,75*2,75)</t>
  </si>
  <si>
    <t>(2,6*4,39)</t>
  </si>
  <si>
    <t>(3,05*1,6)</t>
  </si>
  <si>
    <t>(1,85*4,4)</t>
  </si>
  <si>
    <t>(3,46*4,4)</t>
  </si>
  <si>
    <t>(7,43*2,5)</t>
  </si>
  <si>
    <t>PROJETO PADRÃO FNDE, ARQ.08/56
SUPORTE PARA BALÇÃO: 0,82*0,72
FECHAMENTO DA AREA DE CULTIVAÇÃO (0,68*2*2,50)</t>
  </si>
  <si>
    <t>ARGAMASSA PARA REVESTIR PARAEDE E CHAPISCO</t>
  </si>
  <si>
    <t>PASSARELAS</t>
  </si>
  <si>
    <t>(PROJETO DE IMPLANTAÇÃO ARQ 01/56) 
(3,6*3,6)*25 MODULOS</t>
  </si>
  <si>
    <t>GRANILITE, EXECUTAR POR COMPLETO</t>
  </si>
  <si>
    <t xml:space="preserve">GRANILITE, EXECUTAR POLIMENTO E RESINAGEM </t>
  </si>
  <si>
    <t>23,06*18,60*0,05</t>
  </si>
  <si>
    <t xml:space="preserve">PROJETO ARQ. PRANCHA 20/56 
BLOCO G- COBERTURA 9,79*2+5,26*2
</t>
  </si>
  <si>
    <t>VENEZINA PARA FECHAMENTO DIAMETRO DE 75CM, CIRCULAR DE AÇO, CHAPA 16</t>
  </si>
  <si>
    <t>PROJETO ARQ, PRANCHA 07/56- BLOCO B
PROJETO ARQ, PRANCHA 10/56- BLOCO C
PROJETO ARQ, PRANCHA 16/56- BLOCO E1, E2
PROJETO ARQ, PRANCHA 19/56 BLOCO F 
A= (3,1415*0,375²)=0,44m²*10 un</t>
  </si>
  <si>
    <t>PREVER PINTURA PARA AS VENEZIANAS</t>
  </si>
  <si>
    <t>BANCO DE CONCRETO POLIDO, COM ASSENTO, LARGURA DE 40CM  E BASE DE 34CM</t>
  </si>
  <si>
    <t>PROJETO ARQ. PRANCHA 20/56 
2,60M</t>
  </si>
  <si>
    <t>P9 CORRER/ABRIR (2,15X2,10)X1=4,515M²(CONFORME PROJETO PADRÃO 12 SALAS, PROJETO AQUITETÔNICO PRANCHA 8/56 R 2)</t>
  </si>
  <si>
    <t>OBSERVAÇÕES</t>
  </si>
  <si>
    <t>MEMÓRIA DE CALCULO</t>
  </si>
  <si>
    <t>(2,00*4,00)*2=16m²</t>
  </si>
  <si>
    <t>3,00*2,00=6m²</t>
  </si>
  <si>
    <t>5,00*4,00=20m²</t>
  </si>
  <si>
    <t>2,00*5,00=10m²</t>
  </si>
  <si>
    <t>kg</t>
  </si>
  <si>
    <t>01 ABRIGO PARA RESIDUOS, CONFORME PROJETO EXECUTIVO</t>
  </si>
  <si>
    <t>VER PROJETO</t>
  </si>
  <si>
    <t>PASSARELA A-D</t>
  </si>
  <si>
    <t>PROJETO ARQ. PRANCHA 01/56 R 02
(4,80*2,75)</t>
  </si>
  <si>
    <t>BLOCO  E1</t>
  </si>
  <si>
    <t>BLOCO  E2</t>
  </si>
  <si>
    <t>PROJETO ARQ, PRANCHA 47/56
BLOCO B
BLOCO C
BLOCO E1
BLOCO E2
BLOCO F</t>
  </si>
  <si>
    <t>BATE CARTEIRA, RODAMEIO, ALTURA DE 18 cm</t>
  </si>
  <si>
    <t>PROJETO PADRÃO FNDE, ARQ.08/56
 FECHAMENTO DA AREA DE CULTIVAÇÃO 
(9,45+2,40*2)*2,55</t>
  </si>
  <si>
    <t xml:space="preserve">PROJETO PADRÃO FNDE, ARQ.03/56
FECHAMENTO DO OITÃO 
2,00*1,20*2
FECHAMENTO DA AREA DE SERVIÇO
(2*1,2*2)+(2,05+0,96+1,47+1,09)*2,10 </t>
  </si>
  <si>
    <t>BLOCO ADMINISTRATIVO A</t>
  </si>
  <si>
    <t xml:space="preserve">PROJETO PADRÃO FNDE, ARQ. PRANCHA 2/56 </t>
  </si>
  <si>
    <t>(0,31*4)*6</t>
  </si>
  <si>
    <t>3,45+1,05+0,85+2,02+3,55+3,07+0,13+0,17*2</t>
  </si>
  <si>
    <t>(7,46+1,21+3,2)-(0,9*3)</t>
  </si>
  <si>
    <t>(3,55+2,02+0,85+2,95+0,86+1,32+1,39+1,39+(0,60*4)+(0,15*2)+6,74+(0,15*4)+(0,13*2))</t>
  </si>
  <si>
    <t>((2,6+4,39)*2)-0,9+(0,13+0,15*2)</t>
  </si>
  <si>
    <t>(1,6+3,05+1,6)-(0,90)-(0,97*2)</t>
  </si>
  <si>
    <t>((1,85+4,4)*2)-0,9</t>
  </si>
  <si>
    <t>((3,46+4,4)*2)-0,9</t>
  </si>
  <si>
    <t>42 BANCOS, COM 2M DE COMPRIMENTO</t>
  </si>
  <si>
    <t>CONFORME PROJETO PADRÃO 12 SALAS, PROJETO AQUITETÔNICO PRANCHA 11/56 
PREVISÃO DE GRADIL EM TODAS AS ESQUADRIAS, COM EXCEÇÃO DA J5</t>
  </si>
  <si>
    <t>PASSARELA - LIGAÇÃO DO BLOCO A- D</t>
  </si>
  <si>
    <t>(PROJETO DE IMPLANTAÇÃO ARQ 01/56)
4,80*2,75</t>
  </si>
  <si>
    <t>LEANTAMENTO DA CONSTRUÇÃO DA ESCOLA DO ESCOLA VILA NATHALIA</t>
  </si>
  <si>
    <t>'</t>
  </si>
  <si>
    <t/>
  </si>
  <si>
    <t>MASTRO PARA BANDEIRA</t>
  </si>
  <si>
    <t xml:space="preserve">PROJETO PADRÃO FNDE, ARQ.PRANCHA 54/56
DETALHE MASTRO BANDEIRA
2 UN- MASTRO, D: 2" 5,80M
1UN- MASTRO, D: 2" 6,30M
BASE EM CONCRETO ARMADO 2,20*0,50*0,15
3 ESTACAS CONCRETADAS, DIAMETRO DE 15CM, PROFUNDIDADE DE 70CM    </t>
  </si>
  <si>
    <t>BICICLETARIO INTERNO 25 VAGAS</t>
  </si>
  <si>
    <t>PROJETO ARQ, PRANCHA 56/56- PATIO INTERNO
2 UN - BICICLETARIO  25 VAGAS</t>
  </si>
  <si>
    <t>PROJETO PADRÃO FNDE, ARQ.06/56
FECHAMENTO LATERAL- SOLÁRIO 3,08*1,10</t>
  </si>
  <si>
    <t xml:space="preserve">PROJETO PADRÃO FNDE, ARQ.04/56
FECHAMENTO DO OITÃO:((4,98*1,44)/2)*2)+(2,00*0,12*2)*2LADOS
FECHAMENTO DAS LATERAIS 14,27*2*0,40   </t>
  </si>
  <si>
    <t xml:space="preserve">
PROJETO PADRÃO FNDE, ARQ.13/56
OITÃO:((4,98*1,44)/2)*2+(2,00*0,12*2))*2LADOS
BASE DAS BANCADAS (COZINHA) (0,38*0,90*5)+(0,55*0,90*3)
</t>
  </si>
  <si>
    <t>PROJETO PADRÃO FNDE, ARQ.19/56
OITÃO(((3,67*1,16)/2)*2)*2 LADOS
FECHAMENTO LATERAL (28,68*0,60)*2</t>
  </si>
  <si>
    <t>PROJETO PADRÃO FNDE, ARQ.16/56
DIVISORIAS BOX SANITARIO/ VESTIARIO
(2,00*2,15)+((1,50*2,15)-(0,80*2,10))+(0,28*2*2,15)+(1,36*2,15)*2LADOS</t>
  </si>
  <si>
    <t>PROJETO PADRÃO FNDE, ARQ.16/56
OITÃO(((3,67*1,16)/2)*2)*2LADOS
FECHAMENTO LATERAL (36,02*0,60)*2
DIVISORIAS BOX SANITARIO/ VESTIARIO
(2,00*2,15)+((1,50*2,15)-(0,80*2,10))+(0,28*2*2,15)+(1,36*2,15)*2LADOS</t>
  </si>
  <si>
    <t xml:space="preserve">PROJETO ARQ, PRANCHA 35/56- BLOCO D PATIO COBERTO
PROJETO ARQ, PRANCHA 11/56- BLOCO D PATIO COBERTO
3,47*8=27,76m BANCOS
PROJETO ARQ, PRANCHA 04/56- BLOCO A ADMINISTRATIVO
3,20*2=6,40m
</t>
  </si>
  <si>
    <t xml:space="preserve">
</t>
  </si>
  <si>
    <t>ALVENARIA ((3,47*0,35*2)*8</t>
  </si>
  <si>
    <t>REBOCO ((3,47*0,35*2)*8</t>
  </si>
  <si>
    <t>CHAPISCO((3,47*0,35*2)*8</t>
  </si>
  <si>
    <t>CONCRETO POLIDO 0,05*0,40*(3,47*8)</t>
  </si>
  <si>
    <t>MALHA DE AÇO 10X10CM (3,47*0,40)*8</t>
  </si>
  <si>
    <t>banco</t>
  </si>
  <si>
    <r>
      <rPr>
        <b/>
        <sz val="11"/>
        <color indexed="8"/>
        <rFont val="Arial"/>
        <family val="2"/>
      </rPr>
      <t xml:space="preserve">
(</t>
    </r>
    <r>
      <rPr>
        <sz val="11"/>
        <color indexed="8"/>
        <rFont val="Arial"/>
        <family val="2"/>
      </rPr>
      <t>0,67*2,58+0,70*0,50)+(0,70*2,56+1,70*0,46)</t>
    </r>
    <r>
      <rPr>
        <b/>
        <sz val="11"/>
        <color indexed="8"/>
        <rFont val="Arial"/>
        <family val="2"/>
      </rPr>
      <t xml:space="preserve">
</t>
    </r>
    <r>
      <rPr>
        <sz val="11"/>
        <color indexed="8"/>
        <rFont val="Arial"/>
        <family val="2"/>
      </rPr>
      <t xml:space="preserve">
(0,50*2,58+0,58*1,2)
</t>
    </r>
    <r>
      <rPr>
        <b/>
        <sz val="11"/>
        <color indexed="8"/>
        <rFont val="Arial"/>
        <family val="2"/>
      </rPr>
      <t xml:space="preserve">
</t>
    </r>
    <r>
      <rPr>
        <sz val="11"/>
        <color indexed="8"/>
        <rFont val="Arial"/>
        <family val="2"/>
      </rPr>
      <t xml:space="preserve"> (0,30*2,60)
</t>
    </r>
    <r>
      <rPr>
        <b/>
        <sz val="11"/>
        <color indexed="8"/>
        <rFont val="Arial"/>
        <family val="2"/>
      </rPr>
      <t xml:space="preserve">
</t>
    </r>
    <r>
      <rPr>
        <sz val="11"/>
        <color indexed="8"/>
        <rFont val="Arial"/>
        <family val="2"/>
      </rPr>
      <t xml:space="preserve"> ((0,15*2+0,25*2)*(2,00+1,50+1,00+1,00)) 
(((0,15*2+0,25*2)*3)*2,60) 
</t>
    </r>
    <r>
      <rPr>
        <b/>
        <sz val="11"/>
        <color indexed="8"/>
        <rFont val="Arial"/>
        <family val="2"/>
      </rPr>
      <t xml:space="preserve">COZINHA
</t>
    </r>
    <r>
      <rPr>
        <sz val="11"/>
        <color indexed="8"/>
        <rFont val="Arial"/>
        <family val="2"/>
      </rPr>
      <t xml:space="preserve"> requadro pilares((0,28*4*2,60)*4)
base da bancada((0,38*0,90*5)*2)+((0,55*0,90*3)*2) 
</t>
    </r>
    <r>
      <rPr>
        <b/>
        <sz val="11"/>
        <color indexed="8"/>
        <rFont val="Arial"/>
        <family val="2"/>
      </rPr>
      <t>DESPENSA</t>
    </r>
    <r>
      <rPr>
        <sz val="11"/>
        <color indexed="8"/>
        <rFont val="Arial"/>
        <family val="2"/>
      </rPr>
      <t xml:space="preserve">
 requadro pilar( 0,28*3*2,60)
((2,80*2,60)-(0,90*2,10+0,64*1,00)) 
</t>
    </r>
    <r>
      <rPr>
        <b/>
        <sz val="11"/>
        <color indexed="8"/>
        <rFont val="Arial"/>
        <family val="2"/>
      </rPr>
      <t>PÁTIO COBERTO</t>
    </r>
    <r>
      <rPr>
        <sz val="11"/>
        <color indexed="8"/>
        <rFont val="Arial"/>
        <family val="2"/>
      </rPr>
      <t xml:space="preserve">
requadro de pilares (((0,35*2*0,15*2)*2,85)*10)+((0,25*4*2,85)*5) 
requadro de vigas((0,35*2+0,15*2)*(17,87*2))+((0,35*2+0,15*2)*12,45)+((2,32+2,79+2,16+1,08)*(0,25*2+0,13))
requadro de pilares (0,15*3*2,85)*6
</t>
    </r>
    <r>
      <rPr>
        <b/>
        <sz val="11"/>
        <color indexed="8"/>
        <rFont val="Arial"/>
        <family val="2"/>
      </rPr>
      <t>OITÃO</t>
    </r>
    <r>
      <rPr>
        <sz val="11"/>
        <color indexed="8"/>
        <rFont val="Arial"/>
        <family val="2"/>
      </rPr>
      <t xml:space="preserve">
OITÃO:((4,98*1,44)/2)*2+(2,00*0,12*2))*2 </t>
    </r>
  </si>
  <si>
    <t>LADRILHO HIDRAULICO 40X40CM</t>
  </si>
  <si>
    <t xml:space="preserve"> PISO INTERTRAVADO, 20X10CM, COM ESPESSURA 6CM</t>
  </si>
  <si>
    <t>PASSEIO E ESTACIONAMENTO FRONTAL, CONFORME IMPLANTAÇÃO</t>
  </si>
  <si>
    <t>PROJETO ARQ. PRANCHA 20/56 
BOCO G- 9,79X5,26=51,49m²</t>
  </si>
  <si>
    <t>PROJETO PADRÃO FNDE, ARQ.05/56
SOLARIO (1,4*2+2,44*2+2,47)*2,55</t>
  </si>
  <si>
    <t>VERIFICAR PROJETO DE IMPLANTAÇÃO ATUALIZADO</t>
  </si>
  <si>
    <t xml:space="preserve">59,8+23,7+68,25+51,82+69,41+34,22+50,6*4+50,6*4+50,6*4
BLOCO A PROJETO PADRÃO FNDE ARQ 2/56
BLOCO B PROJETO PADRÃO FNDE ARQ 29/56
SALA MULTIUSO (((5,59+4,79)*0,80)/2)+(5,59*6,55)+(1,56*6,55)+(1,20*7,35)
SALA DOS PROFESSORES 1,00*7,35*2+1,37*6,55 
BIBLIOTECA 6,55*9,49+(((8,00+7,21)*0,80)/2)+(((2+1,35)*0,65)/2) 
BLOCO C PROJETO PADRAO FNDE ARQ 28/56
SALA DE INFORMATICA 51,82 m²
LABORATORIO 69,41m²
SALA DE GREMIO 34,22m²
BLOCO F PROJETO PADRAO FNDE ARQ 30/56
4 SALAS DE AULA 50,60m² 
BLOCO E PROJETO PADRAO FNDE ARQ 14/56
4 SALAS DE AULA 50,60m² 
BLOCO E PROJETO PADRAO FNDE ARQ 14/56
4 SALAS DE AULA 50,60m² 
</t>
  </si>
  <si>
    <t>QUANTIDADE</t>
  </si>
  <si>
    <t xml:space="preserve">REPOSIÇÃO E SUBSTITUIÇÃO DE TELHAS CERAMICA, TIPO ROMANA </t>
  </si>
  <si>
    <t>CALHA DE CHAPA GALVANIZADA 50CM</t>
  </si>
  <si>
    <t>TUBO DE QUEDA DIAMETRO 100MM</t>
  </si>
  <si>
    <t>LASTRO DE BRITA 1 PARA O ESTACIONAMENTO</t>
  </si>
  <si>
    <t>AGUARDANDO DEFINIÇÃO DO PROJETO</t>
  </si>
  <si>
    <t xml:space="preserve">
(222,64*0,05+222,64*0,05+371,75*0,05)*16=654un
BLOCO B 
178 TELHAS
BLOCO C
178 TELHAS
BLOCO E 1
297TELHAS</t>
  </si>
  <si>
    <t xml:space="preserve"> ESCOLA VILA NATHALIA</t>
  </si>
  <si>
    <r>
      <rPr>
        <b/>
        <sz val="12"/>
        <color indexed="8"/>
        <rFont val="Arial"/>
        <family val="2"/>
      </rPr>
      <t>BLOCO A PROJETO 2/56 REVISAÕ 2</t>
    </r>
    <r>
      <rPr>
        <sz val="12"/>
        <color indexed="8"/>
        <rFont val="Arial"/>
        <family val="2"/>
      </rPr>
      <t xml:space="preserve">
((16,35*0,87)+(8,30*1,00)+(14,75*0,56)+(3,98*0,70*2)+(6,45*0,70*2))
ENTRE O BLOCO A e D ((4,80*1,80)+(3,20*0,85)+(8,37*0,80))
</t>
    </r>
    <r>
      <rPr>
        <b/>
        <sz val="12"/>
        <color indexed="8"/>
        <rFont val="Arial"/>
        <family val="2"/>
      </rPr>
      <t>BLOCO B PROJETO 5/56 REVISÃO 02</t>
    </r>
    <r>
      <rPr>
        <sz val="12"/>
        <color indexed="8"/>
        <rFont val="Arial"/>
        <family val="2"/>
      </rPr>
      <t xml:space="preserve"> 
((23,15*0,60)+(10,75*0,70*2)+(12*0,50)+(11,04*0,60)+(4,49*2,16)+(20,80*1,20)) ENTRE O BLOCO B  e ESTACIONAMENTO)
</t>
    </r>
    <r>
      <rPr>
        <b/>
        <sz val="12"/>
        <color indexed="8"/>
        <rFont val="Arial"/>
        <family val="2"/>
      </rPr>
      <t>BLOCO C PROJETO ARQ 8/56 REVISÃO 2</t>
    </r>
    <r>
      <rPr>
        <sz val="12"/>
        <color indexed="8"/>
        <rFont val="Arial"/>
        <family val="2"/>
      </rPr>
      <t xml:space="preserve">
((10,75*0,71)+(7,08*0,49)+(4,68*0,86)+(12,12*1,00)+(10,80*1,00))
</t>
    </r>
    <r>
      <rPr>
        <b/>
        <sz val="12"/>
        <color indexed="8"/>
        <rFont val="Arial"/>
        <family val="2"/>
      </rPr>
      <t>BLOCO D PROJETO ARQ 11/56 REVISÃO 2
(</t>
    </r>
    <r>
      <rPr>
        <sz val="12"/>
        <color indexed="8"/>
        <rFont val="Arial"/>
        <family val="2"/>
      </rPr>
      <t xml:space="preserve">(23,64*0,70*2)+(2,72*0,70)+(2,04*0,70)+(1,44*0,70)+(1,27*0,70*2)+(2,65*0,70))
</t>
    </r>
    <r>
      <rPr>
        <b/>
        <sz val="12"/>
        <color indexed="8"/>
        <rFont val="Arial"/>
        <family val="2"/>
      </rPr>
      <t xml:space="preserve">BLOCO E1 PROJETO ARQ 14/56 REVISÃO 2 </t>
    </r>
    <r>
      <rPr>
        <sz val="12"/>
        <color indexed="8"/>
        <rFont val="Arial"/>
        <family val="2"/>
      </rPr>
      <t xml:space="preserve">
((12,12*1,00)+(37,25*1,86)+(10,14*1,00))
</t>
    </r>
    <r>
      <rPr>
        <b/>
        <sz val="12"/>
        <color indexed="8"/>
        <rFont val="Arial"/>
        <family val="2"/>
      </rPr>
      <t>BLOCO E2 PROJETO ARQ 14/56 REVISÃO 2</t>
    </r>
    <r>
      <rPr>
        <sz val="12"/>
        <color indexed="8"/>
        <rFont val="Arial"/>
        <family val="2"/>
      </rPr>
      <t xml:space="preserve"> 
((12,12X1,00)+(37,25X1,86)+(10,14X1,00))
</t>
    </r>
    <r>
      <rPr>
        <b/>
        <sz val="12"/>
        <color indexed="8"/>
        <rFont val="Arial"/>
        <family val="2"/>
      </rPr>
      <t>BLOCO F PROJETO ARQ 17/56 REVISÃO 2</t>
    </r>
    <r>
      <rPr>
        <sz val="12"/>
        <color indexed="8"/>
        <rFont val="Arial"/>
        <family val="2"/>
      </rPr>
      <t xml:space="preserve"> 
((28,68*1,86)+(12,12*0,88*2))
</t>
    </r>
    <r>
      <rPr>
        <b/>
        <sz val="12"/>
        <color indexed="8"/>
        <rFont val="Arial"/>
        <family val="2"/>
      </rPr>
      <t xml:space="preserve">BLOCO G PROJETO 20/56 REVISÃO 02  </t>
    </r>
    <r>
      <rPr>
        <sz val="12"/>
        <color indexed="8"/>
        <rFont val="Arial"/>
        <family val="2"/>
      </rPr>
      <t xml:space="preserve">
((10,045*0,525*2)+(6,57*0,525*2))
</t>
    </r>
    <r>
      <rPr>
        <b/>
        <sz val="11"/>
        <color indexed="8"/>
        <rFont val="Arial"/>
        <family val="2"/>
      </rPr>
      <t/>
    </r>
  </si>
  <si>
    <r>
      <rPr>
        <b/>
        <sz val="12"/>
        <color indexed="8"/>
        <rFont val="Arial"/>
        <family val="2"/>
      </rPr>
      <t xml:space="preserve">
REFERENCIA: PROJETO PADRÃO FNDE, ARQ.PRANCHA 02/56
BLOCO A
DIRETORIA
</t>
    </r>
    <r>
      <rPr>
        <sz val="12"/>
        <color indexed="8"/>
        <rFont val="Arial"/>
        <family val="2"/>
      </rPr>
      <t xml:space="preserve">REQUADRO DE PILAR 0,39*2,60
PAREDE 2,55*0,38+0,40*1,5+0,25*2,60
</t>
    </r>
    <r>
      <rPr>
        <b/>
        <sz val="12"/>
        <color indexed="8"/>
        <rFont val="Arial"/>
        <family val="2"/>
      </rPr>
      <t xml:space="preserve">WC 1
</t>
    </r>
    <r>
      <rPr>
        <sz val="12"/>
        <color indexed="8"/>
        <rFont val="Arial"/>
        <family val="2"/>
      </rPr>
      <t xml:space="preserve">PAREDE 3,06*0,40+1,00*2,2
</t>
    </r>
    <r>
      <rPr>
        <b/>
        <sz val="12"/>
        <color indexed="8"/>
        <rFont val="Arial"/>
        <family val="2"/>
      </rPr>
      <t xml:space="preserve">ALMOXARIFADO
</t>
    </r>
    <r>
      <rPr>
        <sz val="12"/>
        <color indexed="8"/>
        <rFont val="Arial"/>
        <family val="2"/>
      </rPr>
      <t>PAREDE</t>
    </r>
    <r>
      <rPr>
        <b/>
        <sz val="12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 xml:space="preserve">0,90*0,40+1,00*2,60+1,90*2,60
</t>
    </r>
    <r>
      <rPr>
        <b/>
        <sz val="12"/>
        <color indexed="8"/>
        <rFont val="Arial"/>
        <family val="2"/>
      </rPr>
      <t xml:space="preserve">COORDENAÇÃO
</t>
    </r>
    <r>
      <rPr>
        <sz val="12"/>
        <color indexed="8"/>
        <rFont val="Arial"/>
        <family val="2"/>
      </rPr>
      <t xml:space="preserve">2,39*2,60+1,08*0,50
CIRCULAÇÃO
</t>
    </r>
    <r>
      <rPr>
        <b/>
        <sz val="12"/>
        <color indexed="8"/>
        <rFont val="Arial"/>
        <family val="2"/>
      </rPr>
      <t xml:space="preserve">SECRETARIA
</t>
    </r>
    <r>
      <rPr>
        <sz val="12"/>
        <color indexed="8"/>
        <rFont val="Arial"/>
        <family val="2"/>
      </rPr>
      <t>PAREDE ((2,90+0,88+0,90)*2,60)
REQUADRO DE PAREDE E PILAR (0,13*2,60*3)+(0,39*2,60*2</t>
    </r>
    <r>
      <rPr>
        <b/>
        <sz val="12"/>
        <color indexed="8"/>
        <rFont val="Arial"/>
        <family val="2"/>
      </rPr>
      <t>)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SALA MULTIUSO</t>
    </r>
    <r>
      <rPr>
        <sz val="12"/>
        <color indexed="8"/>
        <rFont val="Arial"/>
        <family val="2"/>
      </rPr>
      <t xml:space="preserve">
REQUADRO DE PILAR 0,39*2,60
</t>
    </r>
    <r>
      <rPr>
        <b/>
        <sz val="12"/>
        <color indexed="8"/>
        <rFont val="Arial"/>
        <family val="2"/>
      </rPr>
      <t xml:space="preserve">REQUADRO DE PILARES E VIGAS EXTERNO
</t>
    </r>
    <r>
      <rPr>
        <sz val="12"/>
        <color indexed="8"/>
        <rFont val="Arial"/>
        <family val="2"/>
      </rPr>
      <t>REQUADRO</t>
    </r>
    <r>
      <rPr>
        <b/>
        <sz val="12"/>
        <color indexed="8"/>
        <rFont val="Arial"/>
        <family val="2"/>
      </rPr>
      <t xml:space="preserve"> </t>
    </r>
    <r>
      <rPr>
        <sz val="12"/>
        <color indexed="8"/>
        <rFont val="Arial"/>
        <family val="2"/>
      </rPr>
      <t xml:space="preserve">VIGA(12,11+2,26*2+7,2*2+7,25)*(0,40+0,15+0,40)
REQUADRO PILARES((0,35*4*13)*2,85)
REQUADRO PILARES(((0,45*2+0,15*2)*2)*2,85)
</t>
    </r>
    <r>
      <rPr>
        <b/>
        <sz val="12"/>
        <color indexed="8"/>
        <rFont val="Arial"/>
        <family val="2"/>
      </rPr>
      <t xml:space="preserve">OITÃO
</t>
    </r>
    <r>
      <rPr>
        <sz val="12"/>
        <color indexed="8"/>
        <rFont val="Arial"/>
        <family val="2"/>
      </rPr>
      <t xml:space="preserve">OITÃO:(((4,98'*1,44)/2)*2)+((2,00*0,12*2)*2) 
</t>
    </r>
    <r>
      <rPr>
        <b/>
        <sz val="12"/>
        <color indexed="8"/>
        <rFont val="Arial"/>
        <family val="2"/>
      </rPr>
      <t xml:space="preserve">FECHAMENTO DAS LATERAIS
</t>
    </r>
    <r>
      <rPr>
        <sz val="12"/>
        <color indexed="8"/>
        <rFont val="Arial"/>
        <family val="2"/>
      </rPr>
      <t xml:space="preserve"> 14,27*0,40*2
</t>
    </r>
    <r>
      <rPr>
        <b/>
        <sz val="11"/>
        <color indexed="8"/>
        <rFont val="Arial"/>
        <family val="2"/>
      </rPr>
      <t/>
    </r>
  </si>
  <si>
    <r>
      <rPr>
        <b/>
        <sz val="12"/>
        <color indexed="8"/>
        <rFont val="Arial"/>
        <family val="2"/>
      </rPr>
      <t>REFERENCIA: PROJETO PADRÃO FNDE, ARQ.PRANCHA 05/56
AUDITORIO MULTIUSO</t>
    </r>
    <r>
      <rPr>
        <sz val="12"/>
        <color indexed="8"/>
        <rFont val="Arial"/>
        <family val="2"/>
      </rPr>
      <t xml:space="preserve">:
REBOCO VIGA (0,40*4,40)+(0,20*0,60)+(0,40*7,00)      
REBOCO PAREDE:
(0,20*7,10*2)+(2,30*0,20 externo)
</t>
    </r>
    <r>
      <rPr>
        <b/>
        <sz val="12"/>
        <color indexed="8"/>
        <rFont val="Arial"/>
        <family val="2"/>
      </rPr>
      <t>SALA DOS PROFESSORES:</t>
    </r>
    <r>
      <rPr>
        <sz val="12"/>
        <color indexed="8"/>
        <rFont val="Arial"/>
        <family val="2"/>
      </rPr>
      <t xml:space="preserve">
PORTA ENTRE CIRCULAÇÃO E SALA DE PROFESSORES
0,90*1,10
</t>
    </r>
    <r>
      <rPr>
        <b/>
        <sz val="12"/>
        <color indexed="8"/>
        <rFont val="Arial"/>
        <family val="2"/>
      </rPr>
      <t xml:space="preserve">BIBLIOTECA: </t>
    </r>
    <r>
      <rPr>
        <sz val="12"/>
        <color indexed="8"/>
        <rFont val="Arial"/>
        <family val="2"/>
      </rPr>
      <t xml:space="preserve">
REQUADRO DE VIGA: (0,40*2,20)+(7,10*0,40)
REQUADRO DE PILAR 0,70*0,25*3
PAREDE INTERNA:1,45*0,90+2,10*0,65
PAREDE EXTERNA:1,42*0,90+0,15*2,10
FECHAMENTO DO SOLARIO (3,08*1,10)*4 
</t>
    </r>
    <r>
      <rPr>
        <b/>
        <sz val="12"/>
        <color indexed="8"/>
        <rFont val="Arial"/>
        <family val="2"/>
      </rPr>
      <t>CIRCULAÇÃO:</t>
    </r>
    <r>
      <rPr>
        <sz val="12"/>
        <color indexed="8"/>
        <rFont val="Arial"/>
        <family val="2"/>
      </rPr>
      <t xml:space="preserve">
BANCO: (5,30*0,40*2)+(0,50*0,40*2) 
</t>
    </r>
  </si>
  <si>
    <r>
      <rPr>
        <b/>
        <sz val="12"/>
        <color indexed="8"/>
        <rFont val="Arial"/>
        <family val="2"/>
      </rPr>
      <t xml:space="preserve">
REFERENCIA: PROJETO PADRÃO FNDE, ARQ.PRANCHA 08/56
SALA DE INFORMATICA</t>
    </r>
    <r>
      <rPr>
        <sz val="12"/>
        <color indexed="8"/>
        <rFont val="Arial"/>
        <family val="2"/>
      </rPr>
      <t xml:space="preserve">
0,74*1,10*2+2,20*0,25+0,10*2,20
</t>
    </r>
    <r>
      <rPr>
        <b/>
        <sz val="12"/>
        <color indexed="8"/>
        <rFont val="Arial"/>
        <family val="2"/>
      </rPr>
      <t xml:space="preserve">LABORATORIO
</t>
    </r>
    <r>
      <rPr>
        <sz val="12"/>
        <color indexed="8"/>
        <rFont val="Arial"/>
        <family val="2"/>
      </rPr>
      <t xml:space="preserve">REQUADRO DE PILAR 0,62*0,25
</t>
    </r>
    <r>
      <rPr>
        <b/>
        <sz val="12"/>
        <color indexed="8"/>
        <rFont val="Arial"/>
        <family val="2"/>
      </rPr>
      <t xml:space="preserve">SALA DE GREMIO
</t>
    </r>
    <r>
      <rPr>
        <sz val="12"/>
        <color indexed="8"/>
        <rFont val="Arial"/>
        <family val="2"/>
      </rPr>
      <t xml:space="preserve">(1,3*0,20+0,25*1,23)
</t>
    </r>
    <r>
      <rPr>
        <b/>
        <sz val="12"/>
        <color indexed="8"/>
        <rFont val="Arial"/>
        <family val="2"/>
      </rPr>
      <t>CIRCULAÇÃO</t>
    </r>
    <r>
      <rPr>
        <sz val="12"/>
        <color indexed="8"/>
        <rFont val="Arial"/>
        <family val="2"/>
      </rPr>
      <t xml:space="preserve">
BANCOS: (2*7,70*0,40+0,50*0,40*2)+(5,30*0,40*2+0,50*0,40*2)
</t>
    </r>
    <r>
      <rPr>
        <b/>
        <sz val="12"/>
        <color indexed="8"/>
        <rFont val="Arial"/>
        <family val="2"/>
      </rPr>
      <t>AREA DE CULTIVAÇÃO</t>
    </r>
    <r>
      <rPr>
        <sz val="12"/>
        <color indexed="8"/>
        <rFont val="Arial"/>
        <family val="2"/>
      </rPr>
      <t xml:space="preserve"> 
(0,68*2,50*2)*2</t>
    </r>
  </si>
  <si>
    <r>
      <rPr>
        <b/>
        <sz val="12"/>
        <color indexed="8"/>
        <rFont val="Arial"/>
        <family val="2"/>
      </rPr>
      <t xml:space="preserve">
PROJETO FNDE ARQ, PRANCHA 11/56 
CIRCULAÇÃO
(</t>
    </r>
    <r>
      <rPr>
        <sz val="12"/>
        <color indexed="8"/>
        <rFont val="Arial"/>
        <family val="2"/>
      </rPr>
      <t>0,67*2,58+0,70*0,50)+(0,70*2,56+1,70*0,46)</t>
    </r>
    <r>
      <rPr>
        <b/>
        <sz val="12"/>
        <color indexed="8"/>
        <rFont val="Arial"/>
        <family val="2"/>
      </rPr>
      <t xml:space="preserve">
 D.M.L</t>
    </r>
    <r>
      <rPr>
        <sz val="12"/>
        <color indexed="8"/>
        <rFont val="Arial"/>
        <family val="2"/>
      </rPr>
      <t xml:space="preserve">
(0,50*2,58+0,58*1,2)
</t>
    </r>
    <r>
      <rPr>
        <b/>
        <sz val="12"/>
        <color indexed="8"/>
        <rFont val="Arial"/>
        <family val="2"/>
      </rPr>
      <t xml:space="preserve">SANITARIO
</t>
    </r>
    <r>
      <rPr>
        <sz val="12"/>
        <color indexed="8"/>
        <rFont val="Arial"/>
        <family val="2"/>
      </rPr>
      <t xml:space="preserve">requadro de pilar (0,30*2,60)
</t>
    </r>
    <r>
      <rPr>
        <b/>
        <sz val="12"/>
        <color indexed="8"/>
        <rFont val="Arial"/>
        <family val="2"/>
      </rPr>
      <t xml:space="preserve">ÁREA DE SERVIÇO
</t>
    </r>
    <r>
      <rPr>
        <sz val="12"/>
        <color indexed="8"/>
        <rFont val="Arial"/>
        <family val="2"/>
      </rPr>
      <t xml:space="preserve">requadro de vigas ((0,15*2+0,25*2)*(2,00+1,50+1,00+1,00)) 
requadro de pilares(((0,15*2+0,25*2)*3)*2,60) 
</t>
    </r>
    <r>
      <rPr>
        <b/>
        <sz val="12"/>
        <color indexed="8"/>
        <rFont val="Arial"/>
        <family val="2"/>
      </rPr>
      <t xml:space="preserve">COZINHA
</t>
    </r>
    <r>
      <rPr>
        <sz val="12"/>
        <color indexed="8"/>
        <rFont val="Arial"/>
        <family val="2"/>
      </rPr>
      <t xml:space="preserve"> requadro pilares((0,28*4*2,60)*4)
base da bancada((0,38*0,90*5)*2)+((0,55*0,90*3)*2) 
</t>
    </r>
    <r>
      <rPr>
        <b/>
        <sz val="12"/>
        <color indexed="8"/>
        <rFont val="Arial"/>
        <family val="2"/>
      </rPr>
      <t>DESPENSA</t>
    </r>
    <r>
      <rPr>
        <sz val="12"/>
        <color indexed="8"/>
        <rFont val="Arial"/>
        <family val="2"/>
      </rPr>
      <t xml:space="preserve">
 requadro pilar( 0,28*3*2,60)
((2,80*2,60)-(0,90*2,10+0,64*1,00)) 
</t>
    </r>
    <r>
      <rPr>
        <b/>
        <sz val="12"/>
        <color indexed="8"/>
        <rFont val="Arial"/>
        <family val="2"/>
      </rPr>
      <t>PÁTIO COBERTO</t>
    </r>
    <r>
      <rPr>
        <sz val="12"/>
        <color indexed="8"/>
        <rFont val="Arial"/>
        <family val="2"/>
      </rPr>
      <t xml:space="preserve">
requadro de pilares (((0,35*2*0,15*2)*2,85)*10)+((0,25*4*2,85)*5) 
requadro de vigas((0,35*2+0,15*2)*(17,87*2))+((0,35*2+0,15*2)*12,45)+((1,32+2,79+2,16+1,09)*(0,25*2+0,13))
requadro de pilares (0,15*3*2,85)*6
</t>
    </r>
    <r>
      <rPr>
        <b/>
        <sz val="12"/>
        <color indexed="8"/>
        <rFont val="Arial"/>
        <family val="2"/>
      </rPr>
      <t>OITÃO</t>
    </r>
    <r>
      <rPr>
        <sz val="12"/>
        <color indexed="8"/>
        <rFont val="Arial"/>
        <family val="2"/>
      </rPr>
      <t xml:space="preserve">
OITÃO:((4,98*1,44)/2)*2+(2,00*0,12*2))*2 </t>
    </r>
  </si>
  <si>
    <r>
      <rPr>
        <b/>
        <sz val="12"/>
        <color indexed="8"/>
        <rFont val="Arial"/>
        <family val="2"/>
      </rPr>
      <t>PROJETO FNDE ARQ, PRANCHA 14/56 
SALA DE AULA 1</t>
    </r>
    <r>
      <rPr>
        <sz val="12"/>
        <color indexed="8"/>
        <rFont val="Arial"/>
        <family val="2"/>
      </rPr>
      <t xml:space="preserve">
VIGA 2*(7,35*0,40*2 LADOS+( 7,35*0,15 REQUADRO DA VIGA)+(7,35*0,40  1 LADO DA VIGA)+(2,16*0,40*4)+(0,25*1,2 PILAR) 
0,85*1,26*2+0,25*2,10( INTERNO)
0,80*3,06+0,15*2,70  ( EXTERNO)
</t>
    </r>
    <r>
      <rPr>
        <b/>
        <sz val="12"/>
        <color indexed="8"/>
        <rFont val="Arial"/>
        <family val="2"/>
      </rPr>
      <t>SALA DE AULA 2</t>
    </r>
    <r>
      <rPr>
        <sz val="12"/>
        <color indexed="8"/>
        <rFont val="Arial"/>
        <family val="2"/>
      </rPr>
      <t xml:space="preserve">
VIGA 2*(7,35*0,40*2 LADOS+( 7,35*0,15 REQUADRO DA VIGA)+(7,35*0,40  1 LADO DA VIGA)+(2,16*0,40*4)+(0,25*1,2 PILAR) 
0,85*1,26*2+0,25*2,10( INTERNO)
0,80*3,06+0,15*2,70  ( EXTERNO)
</t>
    </r>
    <r>
      <rPr>
        <b/>
        <sz val="12"/>
        <color indexed="8"/>
        <rFont val="Arial"/>
        <family val="2"/>
      </rPr>
      <t>SALA DE AULA 3</t>
    </r>
    <r>
      <rPr>
        <sz val="12"/>
        <color indexed="8"/>
        <rFont val="Arial"/>
        <family val="2"/>
      </rPr>
      <t xml:space="preserve">
VIGA 2*(7,35*0,40*2 LADOS+( 7,35*0,15 REQUADRO DA VIGA)+(7,35*0,40  1 LADO DA VIGA)+(2,16*0,40*4 VIGAS)+(0,25*1,25 PILAR) 
0,85*1,26*2+0,25*2,10( INTERNO)
0,80*3,06+0,15*2,70 ( EXTERNO</t>
    </r>
    <r>
      <rPr>
        <b/>
        <sz val="12"/>
        <color indexed="8"/>
        <rFont val="Arial"/>
        <family val="2"/>
      </rPr>
      <t>)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>SALA DE AULA 4</t>
    </r>
    <r>
      <rPr>
        <sz val="12"/>
        <color indexed="8"/>
        <rFont val="Arial"/>
        <family val="2"/>
      </rPr>
      <t xml:space="preserve">
0,88*1,26*2+0,20*2,15( INTERNO)
VIGAS (2,16*0,40*4)
</t>
    </r>
    <r>
      <rPr>
        <b/>
        <sz val="12"/>
        <color indexed="8"/>
        <rFont val="Arial"/>
        <family val="2"/>
      </rPr>
      <t xml:space="preserve">VESTIÁRIO </t>
    </r>
    <r>
      <rPr>
        <sz val="12"/>
        <color indexed="8"/>
        <rFont val="Arial"/>
        <family val="2"/>
      </rPr>
      <t xml:space="preserve">
PAREDE 0,66*3,15 EXTERNO
REQUADRO 0,15*3,15*3 EXTERNO
VIGA 3,60*0,35*4 (WC1+W2)
PAREDE INTERNA DO VESTIARIO
((0,80*1,28)+(0,28*2,30)*2)*2 (WC1+ WC2)     
</t>
    </r>
    <r>
      <rPr>
        <b/>
        <sz val="12"/>
        <color indexed="8"/>
        <rFont val="Arial"/>
        <family val="2"/>
      </rPr>
      <t xml:space="preserve">CIRCULAÇÃO
</t>
    </r>
    <r>
      <rPr>
        <sz val="12"/>
        <color indexed="8"/>
        <rFont val="Arial"/>
        <family val="2"/>
      </rPr>
      <t xml:space="preserve">BANCO NA CIRCULAÇÃO (4,36*4*0,40+0,40*0,40*6
BANCO NA CIRCULAÇÃO (6,76*4*0,40+0,40*0,40*6)
</t>
    </r>
  </si>
  <si>
    <r>
      <rPr>
        <b/>
        <sz val="12"/>
        <color indexed="8"/>
        <rFont val="Arial"/>
        <family val="2"/>
      </rPr>
      <t>PROJETO FNDE ARQ, PRANCHA 14/56 
SALA DE AULA 1</t>
    </r>
    <r>
      <rPr>
        <sz val="12"/>
        <color indexed="8"/>
        <rFont val="Arial"/>
        <family val="2"/>
      </rPr>
      <t xml:space="preserve">
VIGA 2*(7,35*0,40*2 LADO+( 7,35*0,15) (REQUADRO)
0,88*1,26+0,20*2,15( INTERNO)
1,00*3,00+1,15*0,88( EXTERNO)
</t>
    </r>
    <r>
      <rPr>
        <b/>
        <sz val="12"/>
        <color indexed="8"/>
        <rFont val="Arial"/>
        <family val="2"/>
      </rPr>
      <t>SALA DE AULA 2</t>
    </r>
    <r>
      <rPr>
        <sz val="12"/>
        <color indexed="8"/>
        <rFont val="Arial"/>
        <family val="2"/>
      </rPr>
      <t xml:space="preserve">
VIGA 2*(7,35*0,40*2 LADO+( 7,35*0,15) (REQUADRO)
0,88*1,26+0,20*2,15( INTERNO)
1,00*3,00+1,15*0,88( EXTERNO)
</t>
    </r>
    <r>
      <rPr>
        <b/>
        <sz val="12"/>
        <color indexed="8"/>
        <rFont val="Arial"/>
        <family val="2"/>
      </rPr>
      <t xml:space="preserve">SALA DE AULA 3
</t>
    </r>
    <r>
      <rPr>
        <sz val="12"/>
        <color indexed="8"/>
        <rFont val="Arial"/>
        <family val="2"/>
      </rPr>
      <t xml:space="preserve">VIGA 2*(7,35*0,40*2 LADO+( 7,35*0,15) (REQUADRO)
0,88*1,26+0,20*2,15( INTERNO)
1,00*3,00+1,15*0,88( EXTERNO)
</t>
    </r>
    <r>
      <rPr>
        <b/>
        <sz val="12"/>
        <color indexed="8"/>
        <rFont val="Arial"/>
        <family val="2"/>
      </rPr>
      <t xml:space="preserve">SALA DE AULA 4
</t>
    </r>
    <r>
      <rPr>
        <sz val="12"/>
        <color indexed="8"/>
        <rFont val="Arial"/>
        <family val="2"/>
      </rPr>
      <t>VIGA 2*(7,35*0,40*2 LADO+( 7,35*0,15) (REQUADRO)
0,88*1,26+0,20*2,15( INTERNO)
1,00*3,00+1,15*0,88( EXTERNO</t>
    </r>
    <r>
      <rPr>
        <b/>
        <sz val="12"/>
        <color indexed="8"/>
        <rFont val="Arial"/>
        <family val="2"/>
      </rPr>
      <t>)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 xml:space="preserve">VESTIARIO </t>
    </r>
    <r>
      <rPr>
        <sz val="12"/>
        <color indexed="8"/>
        <rFont val="Arial"/>
        <family val="2"/>
      </rPr>
      <t xml:space="preserve">
PAREDE 0,66*3,15 EXTERNO
REQUADRO 0,15*3,15*3 EXTERNO
VIGA 3,60*0,35*4 (WC1+W2)
PAREDE INTERNA DO VESTIARIO
((0,80*1,28)+(0,28*2,30)*2)*2 (WC1+ WC2)     
</t>
    </r>
    <r>
      <rPr>
        <b/>
        <sz val="12"/>
        <color indexed="8"/>
        <rFont val="Arial"/>
        <family val="2"/>
      </rPr>
      <t xml:space="preserve">CIRCULAÇÃO
</t>
    </r>
    <r>
      <rPr>
        <sz val="12"/>
        <color indexed="8"/>
        <rFont val="Arial"/>
        <family val="2"/>
      </rPr>
      <t xml:space="preserve">BANCO NA CIRCULAÇÃO (4,36*2*0,40*2+0,40*0,50*4
BANCO NA CIRCULAÇÃO (6,76*2*0,40*2+0,40*0,50*4)
</t>
    </r>
    <r>
      <rPr>
        <b/>
        <sz val="12"/>
        <color indexed="8"/>
        <rFont val="Arial"/>
        <family val="2"/>
      </rPr>
      <t xml:space="preserve">OITÃO
</t>
    </r>
    <r>
      <rPr>
        <sz val="12"/>
        <color indexed="8"/>
        <rFont val="Arial"/>
        <family val="2"/>
      </rPr>
      <t xml:space="preserve">PAREDE ((3,67*1,16)/2)*2)*2LADOS
</t>
    </r>
    <r>
      <rPr>
        <b/>
        <sz val="12"/>
        <color indexed="8"/>
        <rFont val="Arial"/>
        <family val="2"/>
      </rPr>
      <t>FECHAMENTO LATERAL</t>
    </r>
    <r>
      <rPr>
        <sz val="12"/>
        <color indexed="8"/>
        <rFont val="Arial"/>
        <family val="2"/>
      </rPr>
      <t xml:space="preserve">
PAREDE (36,02*0,60)*2</t>
    </r>
  </si>
  <si>
    <r>
      <rPr>
        <b/>
        <sz val="12"/>
        <color indexed="8"/>
        <rFont val="Arial"/>
        <family val="2"/>
      </rPr>
      <t>PROJETO FNDE ARQ, PRANCHA 17/56 
SALA DE AULA 1</t>
    </r>
    <r>
      <rPr>
        <sz val="12"/>
        <color indexed="8"/>
        <rFont val="Arial"/>
        <family val="2"/>
      </rPr>
      <t xml:space="preserve">
PAREDES EXTERNAS:1,32*3,08+0,92*1,33+0,20*2,15
REQUADROS DE VIGAS: 7,35*0,40*4
2,16*0,40*4
</t>
    </r>
    <r>
      <rPr>
        <b/>
        <sz val="12"/>
        <color indexed="8"/>
        <rFont val="Arial"/>
        <family val="2"/>
      </rPr>
      <t xml:space="preserve">SALA DE AULA 2
</t>
    </r>
    <r>
      <rPr>
        <sz val="12"/>
        <color indexed="8"/>
        <rFont val="Arial"/>
        <family val="2"/>
      </rPr>
      <t>PAREDES EXTERNAS: 0,90*1,26+(0,12*2,15*3+0,15*2,60 REQUADRO)
REQUADROS DE VIGAS:7,35*0,40*4+2,16*0,40*4</t>
    </r>
    <r>
      <rPr>
        <b/>
        <sz val="12"/>
        <color indexed="8"/>
        <rFont val="Arial"/>
        <family val="2"/>
      </rPr>
      <t xml:space="preserve">
SALA DE AULA 3
</t>
    </r>
    <r>
      <rPr>
        <sz val="12"/>
        <color indexed="8"/>
        <rFont val="Arial"/>
        <family val="2"/>
      </rPr>
      <t xml:space="preserve">PAREDES EXTERNAS:0,90*3,08+0,90*1,33+0,20*2,15*3
REQUADROS DE VIGAS:7,35*0,40*4+7,35*0,15*2+2,16*0,40*5
</t>
    </r>
    <r>
      <rPr>
        <b/>
        <sz val="12"/>
        <color indexed="8"/>
        <rFont val="Arial"/>
        <family val="2"/>
      </rPr>
      <t xml:space="preserve">SALA DE AULA 4
</t>
    </r>
    <r>
      <rPr>
        <sz val="12"/>
        <color indexed="8"/>
        <rFont val="Arial"/>
        <family val="2"/>
      </rPr>
      <t xml:space="preserve">PAREDES EXTERNAS :0,90*3,08+0,90*1,33+0,20*2,15*3
PAREDES INTERNAS: 0,20*2,15+1,29*3,10+0,90*1,10
REQUADROS DE VIGAS:7,35*0,40*4+2,16*0,40*4
REQUADRO DE PILARES
0,25*1,20+0,25*2,60+0,25*1,90
</t>
    </r>
    <r>
      <rPr>
        <b/>
        <sz val="12"/>
        <color indexed="8"/>
        <rFont val="Arial"/>
        <family val="2"/>
      </rPr>
      <t xml:space="preserve">CIRCULAÇÃO
</t>
    </r>
    <r>
      <rPr>
        <sz val="12"/>
        <color indexed="8"/>
        <rFont val="Arial"/>
        <family val="2"/>
      </rPr>
      <t xml:space="preserve">BANCO NA CIRCULAÇÃO (4,36*2*0,40+0,40*0,50*4
BANCO NA CIRCULAÇÃO (6,76*2*0,40*2+0,40*0,50*4)
</t>
    </r>
    <r>
      <rPr>
        <b/>
        <sz val="12"/>
        <color indexed="8"/>
        <rFont val="Arial"/>
        <family val="2"/>
      </rPr>
      <t>OITÃO</t>
    </r>
    <r>
      <rPr>
        <sz val="12"/>
        <color indexed="8"/>
        <rFont val="Arial"/>
        <family val="2"/>
      </rPr>
      <t xml:space="preserve">
PAREDE ((3,67*1,16)/2)*2*(2LADOS)
</t>
    </r>
    <r>
      <rPr>
        <b/>
        <sz val="12"/>
        <color indexed="8"/>
        <rFont val="Arial"/>
        <family val="2"/>
      </rPr>
      <t xml:space="preserve">FECHAMENTO LATERAL
</t>
    </r>
    <r>
      <rPr>
        <sz val="12"/>
        <color indexed="8"/>
        <rFont val="Arial"/>
        <family val="2"/>
      </rPr>
      <t xml:space="preserve">(28,68*0,60)*2
</t>
    </r>
  </si>
  <si>
    <r>
      <rPr>
        <b/>
        <sz val="12"/>
        <color indexed="8"/>
        <rFont val="Arial"/>
        <family val="2"/>
      </rPr>
      <t>PROJETO PADRÃO FNDE, ARQ.20/56
BLOCO G</t>
    </r>
    <r>
      <rPr>
        <sz val="12"/>
        <color indexed="8"/>
        <rFont val="Arial"/>
        <family val="2"/>
      </rPr>
      <t xml:space="preserve">
WC MASC.:(((0,17+1,00)*2,40)*3+1,20*2,60)*2
WC FEM.:(((0,17+1,00)*2,40)*3+1,20*2,60)*2</t>
    </r>
  </si>
  <si>
    <r>
      <rPr>
        <b/>
        <sz val="12"/>
        <color indexed="8"/>
        <rFont val="Arial"/>
        <family val="2"/>
      </rPr>
      <t xml:space="preserve">PROJETO PADRÃO FNDE, ARQ.15/56
BLOCO E1 </t>
    </r>
    <r>
      <rPr>
        <sz val="12"/>
        <color indexed="8"/>
        <rFont val="Arial"/>
        <family val="2"/>
      </rPr>
      <t xml:space="preserve">
WC 7,35*4,65*0,05
</t>
    </r>
    <r>
      <rPr>
        <b/>
        <sz val="12"/>
        <color indexed="8"/>
        <rFont val="Arial"/>
        <family val="2"/>
      </rPr>
      <t xml:space="preserve">BLOCO E2 </t>
    </r>
    <r>
      <rPr>
        <sz val="12"/>
        <color indexed="8"/>
        <rFont val="Arial"/>
        <family val="2"/>
      </rPr>
      <t xml:space="preserve">
WC 7,35*4,65*0,05</t>
    </r>
  </si>
  <si>
    <r>
      <rPr>
        <b/>
        <sz val="12"/>
        <color indexed="8"/>
        <rFont val="Arial"/>
        <family val="2"/>
      </rPr>
      <t>PROJETO PADRÃO FNDE, ARQ. PRANCHA 2/56  
BLOCO A</t>
    </r>
    <r>
      <rPr>
        <sz val="12"/>
        <color indexed="8"/>
        <rFont val="Arial"/>
        <family val="2"/>
      </rPr>
      <t xml:space="preserve">
ENTRADA PRINCIPAL (6,95*2,75)
SAGUÃO DE ENTRADA (2,5*12,11)+(2*4,6)
DIRETORIA (3,07*3,55)+(1,05*0,85)
SECRETARIA (6,74*3,55)+(4,72*0,85)
CIRCULAÇÃO CORREDOR (7,75*2,75)
MULTIUSO (2,6*4,39)
AREA DE BEBEDOURO (3,05*1,6)
ALMOXARIFADO (1,85*4,4)
COORDENAÇÃO (3,46*4,4)
CIRCULAÇÃO DO FUNDO (7,43*2,5)
</t>
    </r>
    <r>
      <rPr>
        <b/>
        <sz val="12"/>
        <color indexed="8"/>
        <rFont val="Arial"/>
        <family val="2"/>
      </rPr>
      <t xml:space="preserve">PROJETO PADRÃO FNDE, ARQ. PRANCHA 11/56  
PATIO COBERTO
</t>
    </r>
    <r>
      <rPr>
        <sz val="12"/>
        <color indexed="8"/>
        <rFont val="Arial"/>
        <family val="2"/>
      </rPr>
      <t xml:space="preserve">12,45*18,11*0,08
</t>
    </r>
    <r>
      <rPr>
        <b/>
        <sz val="12"/>
        <color indexed="8"/>
        <rFont val="Arial"/>
        <family val="2"/>
      </rPr>
      <t>BLOCO D</t>
    </r>
    <r>
      <rPr>
        <sz val="12"/>
        <color indexed="8"/>
        <rFont val="Arial"/>
        <family val="2"/>
      </rPr>
      <t xml:space="preserve">
DISPENSA 2,79*5,25
COZINHA 5,91*5,25
AREA DE SERVIÇO 1,70*3,93
CHUVEIRO 1,00*1,20
SANITARIO 1,00*1,24
DML1,72*1,15
CIRCULAÇÃO ENTRE CHUVEIRO E SANITARIO1,15*1,00
CIRCULÇÃO   ENTRA DA DA AREA DE SERVIÇO1,32*0,98 
PASSARELA BLOCO A PARA O BLOCO D 4,80*2,75 
</t>
    </r>
    <r>
      <rPr>
        <b/>
        <sz val="12"/>
        <color indexed="8"/>
        <rFont val="Arial"/>
        <family val="2"/>
      </rPr>
      <t>PROJETO PADRÃO FNDE, ARQ.15/56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 xml:space="preserve">BLOCO E1 </t>
    </r>
    <r>
      <rPr>
        <sz val="12"/>
        <color indexed="8"/>
        <rFont val="Arial"/>
        <family val="2"/>
      </rPr>
      <t xml:space="preserve">
WC 7,35*4,65*0,08
</t>
    </r>
    <r>
      <rPr>
        <b/>
        <sz val="12"/>
        <color indexed="8"/>
        <rFont val="Arial"/>
        <family val="2"/>
      </rPr>
      <t xml:space="preserve">BLOCO E2 </t>
    </r>
    <r>
      <rPr>
        <sz val="12"/>
        <color indexed="8"/>
        <rFont val="Arial"/>
        <family val="2"/>
      </rPr>
      <t xml:space="preserve">
WC 7,35*4,65*0,08
PROJETO PADRÃO FNDE, ARQ.01/56
</t>
    </r>
    <r>
      <rPr>
        <b/>
        <sz val="12"/>
        <color indexed="8"/>
        <rFont val="Arial"/>
        <family val="2"/>
      </rPr>
      <t xml:space="preserve">PASSARELA </t>
    </r>
    <r>
      <rPr>
        <sz val="12"/>
        <color indexed="8"/>
        <rFont val="Arial"/>
        <family val="2"/>
      </rPr>
      <t>(3,60*3,60)*25</t>
    </r>
  </si>
  <si>
    <r>
      <rPr>
        <b/>
        <sz val="12"/>
        <color indexed="8"/>
        <rFont val="Arial"/>
        <family val="2"/>
      </rPr>
      <t>PROJETO PADRÃO FNDE, ARQ. PRANCHA 2/56  
BLOCO A</t>
    </r>
    <r>
      <rPr>
        <sz val="12"/>
        <color indexed="8"/>
        <rFont val="Arial"/>
        <family val="2"/>
      </rPr>
      <t xml:space="preserve">
ENTRADA PRINCIPAL (6,95*2,75)
SAGUÃO DE ENTRADA (2,5*12,11)+(2*4,6)
DIRETORIA (3,07*3,55)+(1,05*0,85)
SECRETARIA (6,74*3,55)+(4,72*0,85)
CIRCULAÇÃO CORREDOR (7,75*2,75)
MULTIUSO (2,6*4,39)
AREA DE BEBEDOURO (3,05*1,6)
ALMOXARIFADO (1,85*4,4)
COORDENAÇÃO (3,46*4,4)
CIRCULAÇÃO DO FUNDO (7,43*2,5)
</t>
    </r>
    <r>
      <rPr>
        <b/>
        <sz val="12"/>
        <color indexed="8"/>
        <rFont val="Arial"/>
        <family val="2"/>
      </rPr>
      <t xml:space="preserve">PROJETO PADRÃO FNDE, ARQ. PRANCHA 11/56  
PATIO COBERTO
</t>
    </r>
    <r>
      <rPr>
        <sz val="12"/>
        <color indexed="8"/>
        <rFont val="Arial"/>
        <family val="2"/>
      </rPr>
      <t xml:space="preserve">12,45*18,11*0,08
</t>
    </r>
    <r>
      <rPr>
        <b/>
        <sz val="12"/>
        <color indexed="8"/>
        <rFont val="Arial"/>
        <family val="2"/>
      </rPr>
      <t>BLOCO D</t>
    </r>
    <r>
      <rPr>
        <sz val="12"/>
        <color indexed="8"/>
        <rFont val="Arial"/>
        <family val="2"/>
      </rPr>
      <t xml:space="preserve">
DISPENSA 2,79*5,25
COZINHA 5,91*5,25
AREA DE SERVIÇO 1,70*3,93
CHUVEIRO 1,00*1,20
SANITARIO 1,00*1,24
DML1,72*1,15
CIRCULAÇÃO ENTRE CHUVEIRO E SANITARIO1,15*1,00
CIRCULÇÃO   ENTRA DA DA AREA DE SERVIÇO1,32*0,98 
PASSARELA BLOCO A PARA O BLOCO D 4,80*2,75 
</t>
    </r>
    <r>
      <rPr>
        <b/>
        <sz val="12"/>
        <color indexed="8"/>
        <rFont val="Arial"/>
        <family val="2"/>
      </rPr>
      <t>PROJETO PADRÃO FNDE, ARQ.15/56</t>
    </r>
    <r>
      <rPr>
        <sz val="12"/>
        <color indexed="8"/>
        <rFont val="Arial"/>
        <family val="2"/>
      </rPr>
      <t xml:space="preserve">
</t>
    </r>
    <r>
      <rPr>
        <b/>
        <sz val="12"/>
        <color indexed="8"/>
        <rFont val="Arial"/>
        <family val="2"/>
      </rPr>
      <t xml:space="preserve">BLOCO E1 </t>
    </r>
    <r>
      <rPr>
        <sz val="12"/>
        <color indexed="8"/>
        <rFont val="Arial"/>
        <family val="2"/>
      </rPr>
      <t xml:space="preserve">
WC 7,35*4,65*0,08
</t>
    </r>
    <r>
      <rPr>
        <b/>
        <sz val="12"/>
        <color indexed="8"/>
        <rFont val="Arial"/>
        <family val="2"/>
      </rPr>
      <t xml:space="preserve">BLOCO E2 </t>
    </r>
    <r>
      <rPr>
        <sz val="12"/>
        <color indexed="8"/>
        <rFont val="Arial"/>
        <family val="2"/>
      </rPr>
      <t xml:space="preserve">
WC 7,35*4,65*0,08
PROJETO PADRÃO FNDE, ARQ.01/56
PROJETO PADRÃO FNDE, ARQ.15/56
</t>
    </r>
    <r>
      <rPr>
        <b/>
        <sz val="12"/>
        <color indexed="8"/>
        <rFont val="Arial"/>
        <family val="2"/>
      </rPr>
      <t xml:space="preserve">PASSARELA </t>
    </r>
    <r>
      <rPr>
        <sz val="12"/>
        <color indexed="8"/>
        <rFont val="Arial"/>
        <family val="2"/>
      </rPr>
      <t>(3,60*3,60)*25</t>
    </r>
  </si>
  <si>
    <t xml:space="preserve">PROJETO ARQ. PRANCHA 20/56 
BLOCO G- COBERTURA 10,05M
</t>
  </si>
  <si>
    <t>CALHA PASSARELA(7,35*2+55,40+11+3,60*4)*(0,50), PREVISTO NA COMPOSIÇÃO DO MODULO DA PASSARELA</t>
  </si>
  <si>
    <t>VER PROJETO DA CENTRAL DE GÁS</t>
  </si>
  <si>
    <t xml:space="preserve">LISTA DE MATERIAS NA PRANCHA 20/30 -ESTRUTURA METALICA </t>
  </si>
  <si>
    <t xml:space="preserve">LISTA DE MATERIAS NA PRANCHA 16/30 -ESTRUTURA METALICA </t>
  </si>
  <si>
    <t xml:space="preserve">LISTA DE MATERIAS NA PRANCHA 04/30 -ESTRUTURA METALICA </t>
  </si>
  <si>
    <t>LIGAÇÃO PROVISÓRIA DE ÁGUA E ESGOTO</t>
  </si>
  <si>
    <t>+41</t>
  </si>
  <si>
    <t>PROJETO ARQ, PRANCHA 19/56
5,24*2+7,16*2+30,49</t>
  </si>
  <si>
    <t xml:space="preserve">TAPUME COM TELHA METÁLICA. 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</si>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</sst>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16" x14ac:knownFonts="1">
    <font>
      <sz val="10"/>
      <color indexed="8"/>
      <name val="Arial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sz val="7"/>
      <color indexed="8"/>
      <name val="Arial"/>
      <family val="2"/>
    </font>
    <font>
      <sz val="8"/>
      <color indexed="8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6"/>
      <color indexed="8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11">
    <xf numFmtId="0" fontId="0" fillId="0" borderId="0" xfId="0"/>
    <xf numFmtId="0" fontId="0" fillId="0" borderId="1" xfId="0" applyBorder="1"/>
    <xf numFmtId="0" fontId="5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44" fontId="0" fillId="0" borderId="1" xfId="0" applyNumberFormat="1" applyBorder="1"/>
    <xf numFmtId="0" fontId="8" fillId="0" borderId="1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right" wrapText="1"/>
    </xf>
    <xf numFmtId="0" fontId="13" fillId="0" borderId="0" xfId="0" applyFont="1"/>
    <xf numFmtId="0" fontId="13" fillId="0" borderId="1" xfId="0" applyFont="1" applyBorder="1"/>
    <xf numFmtId="0" fontId="13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right"/>
    </xf>
    <xf numFmtId="44" fontId="13" fillId="0" borderId="1" xfId="0" applyNumberFormat="1" applyFont="1" applyBorder="1"/>
    <xf numFmtId="0" fontId="13" fillId="0" borderId="0" xfId="0" applyFont="1" applyAlignment="1">
      <alignment wrapText="1"/>
    </xf>
    <xf numFmtId="0" fontId="13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right" vertical="center" wrapText="1"/>
    </xf>
    <xf numFmtId="0" fontId="1" fillId="0" borderId="0" xfId="0" applyFont="1"/>
    <xf numFmtId="0" fontId="11" fillId="0" borderId="2" xfId="0" applyFont="1" applyBorder="1" applyAlignment="1">
      <alignment horizontal="center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/>
    </xf>
    <xf numFmtId="0" fontId="10" fillId="0" borderId="1" xfId="0" applyFont="1" applyBorder="1"/>
    <xf numFmtId="0" fontId="10" fillId="0" borderId="1" xfId="0" applyFont="1" applyBorder="1" applyAlignment="1">
      <alignment horizontal="right" wrapText="1"/>
    </xf>
    <xf numFmtId="0" fontId="10" fillId="0" borderId="1" xfId="0" applyFont="1" applyFill="1" applyBorder="1" applyAlignment="1">
      <alignment horizontal="left"/>
    </xf>
    <xf numFmtId="44" fontId="10" fillId="0" borderId="1" xfId="0" applyNumberFormat="1" applyFont="1" applyBorder="1"/>
    <xf numFmtId="0" fontId="10" fillId="0" borderId="1" xfId="0" applyFont="1" applyFill="1" applyBorder="1" applyAlignment="1">
      <alignment horizontal="left" wrapText="1"/>
    </xf>
    <xf numFmtId="0" fontId="10" fillId="0" borderId="1" xfId="0" quotePrefix="1" applyFont="1" applyFill="1" applyBorder="1" applyAlignment="1">
      <alignment horizontal="right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0" xfId="0" applyFont="1"/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right" wrapText="1"/>
    </xf>
    <xf numFmtId="0" fontId="10" fillId="0" borderId="4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0" fontId="10" fillId="0" borderId="1" xfId="0" quotePrefix="1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right"/>
    </xf>
    <xf numFmtId="0" fontId="10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0" fillId="0" borderId="1" xfId="0" applyNumberFormat="1" applyFont="1" applyFill="1" applyBorder="1" applyAlignment="1">
      <alignment horizontal="left"/>
    </xf>
    <xf numFmtId="0" fontId="10" fillId="2" borderId="1" xfId="0" applyFont="1" applyFill="1" applyBorder="1" applyAlignment="1">
      <alignment horizontal="right"/>
    </xf>
    <xf numFmtId="0" fontId="13" fillId="3" borderId="1" xfId="0" applyFont="1" applyFill="1" applyBorder="1" applyAlignment="1">
      <alignment horizontal="right"/>
    </xf>
    <xf numFmtId="0" fontId="11" fillId="0" borderId="5" xfId="0" quotePrefix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/>
    </xf>
    <xf numFmtId="0" fontId="11" fillId="0" borderId="4" xfId="0" quotePrefix="1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5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>
    <pageSetUpPr fitToPage="1"/>
  </sheetPr>
  <dimension ref="A1:X829"/>
  <sheetViews>
    <sheetView tabSelected="1" view="pageBreakPreview" topLeftCell="D61" zoomScale="55" zoomScaleNormal="100" zoomScaleSheetLayoutView="55" workbookViewId="0">
      <selection activeCell="I88" sqref="I88"/>
    </sheetView>
  </sheetViews>
  <sheetFormatPr defaultRowHeight="14.25" outlineLevelRow="2" x14ac:dyDescent="0.2"/>
  <cols>
    <col min="1" max="1" width="6.28515625" style="15" hidden="1" customWidth="1"/>
    <col min="2" max="2" width="3.28515625" style="15" hidden="1" customWidth="1"/>
    <col min="3" max="3" width="14.5703125" style="15" hidden="1" customWidth="1"/>
    <col min="4" max="4" width="40.140625" style="66" customWidth="1"/>
    <col min="5" max="5" width="7.7109375" style="72" customWidth="1"/>
    <col min="6" max="6" width="11.42578125" style="15" hidden="1" customWidth="1"/>
    <col min="7" max="7" width="9.28515625" style="15" hidden="1" customWidth="1"/>
    <col min="8" max="8" width="8.42578125" style="15" hidden="1" customWidth="1"/>
    <col min="9" max="9" width="20.140625" style="72" bestFit="1" customWidth="1"/>
    <col min="10" max="10" width="82.7109375" style="15" customWidth="1"/>
    <col min="11" max="11" width="70.140625" style="15" customWidth="1"/>
    <col min="12" max="12" width="16.7109375" style="15" hidden="1" customWidth="1"/>
    <col min="13" max="13" width="13.42578125" style="15" hidden="1" customWidth="1"/>
    <col min="14" max="14" width="11.140625" style="15" hidden="1" customWidth="1"/>
    <col min="15" max="15" width="9.5703125" style="15" hidden="1" customWidth="1"/>
    <col min="16" max="16" width="9.28515625" style="15" hidden="1" customWidth="1"/>
    <col min="17" max="17" width="23.28515625" style="15" hidden="1" customWidth="1"/>
    <col min="18" max="16384" width="9.140625" style="15"/>
  </cols>
  <sheetData>
    <row r="1" spans="1:17" x14ac:dyDescent="0.2">
      <c r="A1" s="82" t="s">
        <v>758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4"/>
    </row>
    <row r="2" spans="1:17" x14ac:dyDescent="0.2">
      <c r="A2" s="85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7"/>
    </row>
    <row r="3" spans="1:17" x14ac:dyDescent="0.2">
      <c r="A3" s="85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7"/>
    </row>
    <row r="4" spans="1:17" x14ac:dyDescent="0.2">
      <c r="A4" s="88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90"/>
    </row>
    <row r="5" spans="1:17" ht="15.75" x14ac:dyDescent="0.25">
      <c r="A5" s="24"/>
      <c r="B5" s="24"/>
      <c r="C5" s="24"/>
      <c r="D5" s="105" t="s">
        <v>722</v>
      </c>
      <c r="E5" s="105"/>
      <c r="F5" s="105"/>
      <c r="G5" s="105"/>
      <c r="H5" s="105"/>
      <c r="I5" s="105"/>
      <c r="J5" s="105"/>
      <c r="K5" s="105"/>
      <c r="L5" s="24"/>
      <c r="M5" s="24"/>
      <c r="N5" s="24"/>
      <c r="O5" s="24"/>
      <c r="P5" s="24"/>
      <c r="Q5" s="24"/>
    </row>
    <row r="6" spans="1:17" ht="31.5" x14ac:dyDescent="0.25">
      <c r="A6" s="25" t="s">
        <v>47</v>
      </c>
      <c r="B6" s="25" t="s">
        <v>0</v>
      </c>
      <c r="C6" s="25" t="s">
        <v>48</v>
      </c>
      <c r="D6" s="37" t="s">
        <v>1</v>
      </c>
      <c r="E6" s="38" t="s">
        <v>30</v>
      </c>
      <c r="F6" s="25" t="s">
        <v>44</v>
      </c>
      <c r="G6" s="25" t="s">
        <v>2</v>
      </c>
      <c r="H6" s="25" t="s">
        <v>3</v>
      </c>
      <c r="I6" s="38" t="s">
        <v>751</v>
      </c>
      <c r="J6" s="27" t="s">
        <v>692</v>
      </c>
      <c r="K6" s="27" t="s">
        <v>691</v>
      </c>
      <c r="L6" s="25" t="s">
        <v>46</v>
      </c>
      <c r="M6" s="25" t="s">
        <v>4</v>
      </c>
      <c r="N6" s="25" t="s">
        <v>5</v>
      </c>
      <c r="O6" s="25" t="s">
        <v>6</v>
      </c>
      <c r="P6" s="25" t="s">
        <v>7</v>
      </c>
      <c r="Q6" s="25" t="s">
        <v>49</v>
      </c>
    </row>
    <row r="7" spans="1:17" ht="15" x14ac:dyDescent="0.2">
      <c r="A7" s="28"/>
      <c r="B7" s="28"/>
      <c r="C7" s="28"/>
      <c r="D7" s="60"/>
      <c r="E7" s="67"/>
      <c r="F7" s="28"/>
      <c r="G7" s="28"/>
      <c r="H7" s="28"/>
      <c r="I7" s="67"/>
      <c r="J7" s="28"/>
      <c r="K7" s="28"/>
      <c r="L7" s="28"/>
      <c r="M7" s="28"/>
      <c r="N7" s="28"/>
      <c r="O7" s="28"/>
      <c r="P7" s="28"/>
      <c r="Q7" s="28"/>
    </row>
    <row r="8" spans="1:17" ht="15" x14ac:dyDescent="0.2">
      <c r="A8" s="28"/>
      <c r="B8" s="28"/>
      <c r="C8" s="28"/>
      <c r="D8" s="60"/>
      <c r="E8" s="67"/>
      <c r="F8" s="28"/>
      <c r="G8" s="28"/>
      <c r="H8" s="28"/>
      <c r="I8" s="67"/>
      <c r="J8" s="28"/>
      <c r="K8" s="28"/>
      <c r="L8" s="28"/>
      <c r="M8" s="28"/>
      <c r="N8" s="28"/>
      <c r="O8" s="28"/>
      <c r="P8" s="28"/>
      <c r="Q8" s="28"/>
    </row>
    <row r="9" spans="1:17" ht="15.75" outlineLevel="2" x14ac:dyDescent="0.2">
      <c r="A9" s="30">
        <v>10100</v>
      </c>
      <c r="B9" s="28"/>
      <c r="C9" s="30">
        <v>10000</v>
      </c>
      <c r="D9" s="37" t="s">
        <v>8</v>
      </c>
      <c r="E9" s="67"/>
      <c r="F9" s="13"/>
      <c r="G9" s="13">
        <v>0</v>
      </c>
      <c r="H9" s="13">
        <v>0</v>
      </c>
      <c r="I9" s="57"/>
      <c r="J9" s="13"/>
      <c r="K9" s="13"/>
      <c r="L9" s="13" t="s">
        <v>9</v>
      </c>
      <c r="M9" s="13" t="s">
        <v>9</v>
      </c>
      <c r="N9" s="13">
        <v>0</v>
      </c>
      <c r="O9" s="13">
        <v>0</v>
      </c>
      <c r="P9" s="13">
        <v>0</v>
      </c>
      <c r="Q9" s="28"/>
    </row>
    <row r="10" spans="1:17" ht="30" outlineLevel="2" x14ac:dyDescent="0.2">
      <c r="A10" s="30">
        <v>10101</v>
      </c>
      <c r="B10" s="28"/>
      <c r="C10" s="30">
        <v>10455</v>
      </c>
      <c r="D10" s="59" t="s">
        <v>498</v>
      </c>
      <c r="E10" s="57" t="s">
        <v>10</v>
      </c>
      <c r="F10" s="13"/>
      <c r="G10" s="13">
        <v>0</v>
      </c>
      <c r="H10" s="13">
        <v>16</v>
      </c>
      <c r="I10" s="57">
        <f>(2*4)*2</f>
        <v>16</v>
      </c>
      <c r="J10" s="13" t="s">
        <v>693</v>
      </c>
      <c r="K10" s="13"/>
      <c r="L10" s="13">
        <v>325.57</v>
      </c>
      <c r="M10" s="13">
        <v>5209.12</v>
      </c>
      <c r="N10" s="13">
        <v>0</v>
      </c>
      <c r="O10" s="13">
        <v>5209.12</v>
      </c>
      <c r="P10" s="13">
        <v>5209.12</v>
      </c>
      <c r="Q10" s="31">
        <f>PRODUCT(K10,L10)</f>
        <v>325.57</v>
      </c>
    </row>
    <row r="11" spans="1:17" ht="30" outlineLevel="2" x14ac:dyDescent="0.2">
      <c r="A11" s="30"/>
      <c r="B11" s="28"/>
      <c r="C11" s="30"/>
      <c r="D11" s="59" t="s">
        <v>777</v>
      </c>
      <c r="E11" s="59" t="s">
        <v>20</v>
      </c>
      <c r="F11" s="28"/>
      <c r="G11" s="13"/>
      <c r="H11" s="13"/>
      <c r="I11" s="57"/>
      <c r="J11" s="13">
        <v>1</v>
      </c>
      <c r="K11" s="13"/>
      <c r="L11" s="13"/>
      <c r="M11" s="13"/>
      <c r="N11" s="13"/>
      <c r="O11" s="13"/>
      <c r="P11" s="13"/>
      <c r="Q11" s="31"/>
    </row>
    <row r="12" spans="1:17" ht="15" outlineLevel="2" x14ac:dyDescent="0.2">
      <c r="A12" s="30"/>
      <c r="B12" s="28"/>
      <c r="C12" s="30"/>
      <c r="D12" s="61" t="s">
        <v>724</v>
      </c>
      <c r="E12" s="59" t="s">
        <v>20</v>
      </c>
      <c r="F12" s="28"/>
      <c r="G12" s="13"/>
      <c r="H12" s="13"/>
      <c r="I12" s="57"/>
      <c r="J12" s="13">
        <v>1</v>
      </c>
      <c r="K12" s="13"/>
      <c r="L12" s="13"/>
      <c r="M12" s="13"/>
      <c r="N12" s="13"/>
      <c r="O12" s="13"/>
      <c r="P12" s="13"/>
      <c r="Q12" s="31"/>
    </row>
    <row r="13" spans="1:17" ht="75" outlineLevel="2" x14ac:dyDescent="0.2">
      <c r="A13" s="30">
        <v>10102</v>
      </c>
      <c r="B13" s="28"/>
      <c r="C13" s="30">
        <v>920137</v>
      </c>
      <c r="D13" s="59" t="s">
        <v>51</v>
      </c>
      <c r="E13" s="57" t="s">
        <v>10</v>
      </c>
      <c r="F13" s="13"/>
      <c r="G13" s="13">
        <v>0</v>
      </c>
      <c r="H13" s="13">
        <v>20193.72</v>
      </c>
      <c r="I13" s="57">
        <v>20193.72</v>
      </c>
      <c r="J13" s="13"/>
      <c r="K13" s="13"/>
      <c r="L13" s="13">
        <v>0.55000000000000004</v>
      </c>
      <c r="M13" s="13">
        <v>11106.54</v>
      </c>
      <c r="N13" s="13">
        <v>0</v>
      </c>
      <c r="O13" s="13">
        <v>11106.54</v>
      </c>
      <c r="P13" s="13">
        <v>11106.54</v>
      </c>
      <c r="Q13" s="31">
        <f t="shared" ref="Q13:Q44" si="0">PRODUCT(K13,L13)</f>
        <v>0.55000000000000004</v>
      </c>
    </row>
    <row r="14" spans="1:17" ht="90" outlineLevel="2" x14ac:dyDescent="0.2">
      <c r="A14" s="30">
        <v>10103</v>
      </c>
      <c r="B14" s="28"/>
      <c r="C14" s="30">
        <v>925285</v>
      </c>
      <c r="D14" s="59" t="s">
        <v>52</v>
      </c>
      <c r="E14" s="57" t="s">
        <v>10</v>
      </c>
      <c r="F14" s="13"/>
      <c r="G14" s="13">
        <v>0</v>
      </c>
      <c r="H14" s="13">
        <v>6</v>
      </c>
      <c r="I14" s="57">
        <f>3*2</f>
        <v>6</v>
      </c>
      <c r="J14" s="13" t="s">
        <v>694</v>
      </c>
      <c r="K14" s="13"/>
      <c r="L14" s="13">
        <v>652.03</v>
      </c>
      <c r="M14" s="13">
        <v>3912.18</v>
      </c>
      <c r="N14" s="13">
        <v>0</v>
      </c>
      <c r="O14" s="13">
        <v>3912.18</v>
      </c>
      <c r="P14" s="13">
        <v>3912.18</v>
      </c>
      <c r="Q14" s="31">
        <f t="shared" si="0"/>
        <v>652.03</v>
      </c>
    </row>
    <row r="15" spans="1:17" ht="90" outlineLevel="2" x14ac:dyDescent="0.2">
      <c r="A15" s="30">
        <v>10104</v>
      </c>
      <c r="B15" s="28"/>
      <c r="C15" s="30">
        <v>925286</v>
      </c>
      <c r="D15" s="59" t="s">
        <v>53</v>
      </c>
      <c r="E15" s="57" t="s">
        <v>10</v>
      </c>
      <c r="F15" s="13"/>
      <c r="G15" s="13">
        <v>0</v>
      </c>
      <c r="H15" s="13">
        <v>20</v>
      </c>
      <c r="I15" s="57">
        <f>5*4</f>
        <v>20</v>
      </c>
      <c r="J15" s="13" t="s">
        <v>695</v>
      </c>
      <c r="K15" s="13"/>
      <c r="L15" s="13">
        <v>482.92</v>
      </c>
      <c r="M15" s="13">
        <v>9658.4</v>
      </c>
      <c r="N15" s="13">
        <v>0</v>
      </c>
      <c r="O15" s="13">
        <v>9658.4</v>
      </c>
      <c r="P15" s="13">
        <v>9658.4</v>
      </c>
      <c r="Q15" s="31">
        <f t="shared" si="0"/>
        <v>482.92</v>
      </c>
    </row>
    <row r="16" spans="1:17" ht="75" outlineLevel="2" x14ac:dyDescent="0.2">
      <c r="A16" s="30">
        <v>10105</v>
      </c>
      <c r="B16" s="28"/>
      <c r="C16" s="30">
        <v>925287</v>
      </c>
      <c r="D16" s="59" t="s">
        <v>54</v>
      </c>
      <c r="E16" s="57" t="s">
        <v>10</v>
      </c>
      <c r="F16" s="13"/>
      <c r="G16" s="13">
        <v>0</v>
      </c>
      <c r="H16" s="13">
        <v>20</v>
      </c>
      <c r="I16" s="57">
        <f>5*4</f>
        <v>20</v>
      </c>
      <c r="J16" s="13" t="s">
        <v>695</v>
      </c>
      <c r="K16" s="13"/>
      <c r="L16" s="13">
        <v>364.12</v>
      </c>
      <c r="M16" s="13">
        <v>7282.4</v>
      </c>
      <c r="N16" s="13">
        <v>0</v>
      </c>
      <c r="O16" s="13">
        <v>7282.4</v>
      </c>
      <c r="P16" s="13">
        <v>7282.4</v>
      </c>
      <c r="Q16" s="31">
        <f t="shared" si="0"/>
        <v>364.12</v>
      </c>
    </row>
    <row r="17" spans="1:17" ht="75" outlineLevel="2" x14ac:dyDescent="0.2">
      <c r="A17" s="30">
        <v>10106</v>
      </c>
      <c r="B17" s="28"/>
      <c r="C17" s="30">
        <v>925288</v>
      </c>
      <c r="D17" s="59" t="s">
        <v>55</v>
      </c>
      <c r="E17" s="57" t="s">
        <v>10</v>
      </c>
      <c r="F17" s="13"/>
      <c r="G17" s="13">
        <v>0</v>
      </c>
      <c r="H17" s="13">
        <v>10</v>
      </c>
      <c r="I17" s="57">
        <f>2*5</f>
        <v>10</v>
      </c>
      <c r="J17" s="13" t="s">
        <v>696</v>
      </c>
      <c r="K17" s="13"/>
      <c r="L17" s="13">
        <v>693.32</v>
      </c>
      <c r="M17" s="13">
        <v>6933.2</v>
      </c>
      <c r="N17" s="13">
        <v>0</v>
      </c>
      <c r="O17" s="13">
        <v>6933.2</v>
      </c>
      <c r="P17" s="13">
        <v>6933.2</v>
      </c>
      <c r="Q17" s="31">
        <f t="shared" si="0"/>
        <v>693.32</v>
      </c>
    </row>
    <row r="18" spans="1:17" ht="45" outlineLevel="2" x14ac:dyDescent="0.2">
      <c r="A18" s="30">
        <v>10107</v>
      </c>
      <c r="B18" s="28"/>
      <c r="C18" s="30">
        <v>949478</v>
      </c>
      <c r="D18" s="59" t="s">
        <v>56</v>
      </c>
      <c r="E18" s="57" t="s">
        <v>11</v>
      </c>
      <c r="F18" s="13"/>
      <c r="G18" s="13">
        <v>0</v>
      </c>
      <c r="H18" s="13">
        <v>2019.37</v>
      </c>
      <c r="I18" s="57">
        <v>2019.37</v>
      </c>
      <c r="J18" s="13"/>
      <c r="K18" s="13"/>
      <c r="L18" s="13">
        <v>18.54</v>
      </c>
      <c r="M18" s="13">
        <v>37439.11</v>
      </c>
      <c r="N18" s="13">
        <v>0</v>
      </c>
      <c r="O18" s="13">
        <v>37439.11</v>
      </c>
      <c r="P18" s="13">
        <v>37439.11</v>
      </c>
      <c r="Q18" s="31">
        <f t="shared" si="0"/>
        <v>18.54</v>
      </c>
    </row>
    <row r="19" spans="1:17" ht="60" outlineLevel="2" x14ac:dyDescent="0.2">
      <c r="A19" s="30">
        <v>10108</v>
      </c>
      <c r="B19" s="28"/>
      <c r="C19" s="30">
        <v>949479</v>
      </c>
      <c r="D19" s="59" t="s">
        <v>57</v>
      </c>
      <c r="E19" s="57" t="s">
        <v>12</v>
      </c>
      <c r="F19" s="13"/>
      <c r="G19" s="13">
        <v>0</v>
      </c>
      <c r="H19" s="13">
        <v>16000</v>
      </c>
      <c r="I19" s="57">
        <v>16000</v>
      </c>
      <c r="J19" s="13"/>
      <c r="K19" s="13"/>
      <c r="L19" s="13">
        <v>1.2</v>
      </c>
      <c r="M19" s="13">
        <v>19200</v>
      </c>
      <c r="N19" s="13">
        <v>0</v>
      </c>
      <c r="O19" s="13">
        <v>19200</v>
      </c>
      <c r="P19" s="13">
        <v>19200</v>
      </c>
      <c r="Q19" s="31">
        <f t="shared" si="0"/>
        <v>1.2</v>
      </c>
    </row>
    <row r="20" spans="1:17" ht="75" outlineLevel="2" x14ac:dyDescent="0.2">
      <c r="A20" s="30">
        <v>10109</v>
      </c>
      <c r="B20" s="28"/>
      <c r="C20" s="30">
        <v>925289</v>
      </c>
      <c r="D20" s="59" t="s">
        <v>58</v>
      </c>
      <c r="E20" s="57" t="s">
        <v>10</v>
      </c>
      <c r="F20" s="13"/>
      <c r="G20" s="13">
        <v>0</v>
      </c>
      <c r="H20" s="13">
        <v>26</v>
      </c>
      <c r="I20" s="57">
        <v>26</v>
      </c>
      <c r="J20" s="13"/>
      <c r="K20" s="13"/>
      <c r="L20" s="13">
        <v>7.93</v>
      </c>
      <c r="M20" s="13">
        <v>999.18</v>
      </c>
      <c r="N20" s="13">
        <v>0</v>
      </c>
      <c r="O20" s="13">
        <v>206.18</v>
      </c>
      <c r="P20" s="13">
        <v>206.18</v>
      </c>
      <c r="Q20" s="31">
        <f t="shared" si="0"/>
        <v>7.93</v>
      </c>
    </row>
    <row r="21" spans="1:17" ht="105" outlineLevel="2" x14ac:dyDescent="0.2">
      <c r="A21" s="30">
        <v>10110</v>
      </c>
      <c r="B21" s="28"/>
      <c r="C21" s="30">
        <v>925290</v>
      </c>
      <c r="D21" s="59" t="s">
        <v>59</v>
      </c>
      <c r="E21" s="57" t="s">
        <v>10</v>
      </c>
      <c r="F21" s="13"/>
      <c r="G21" s="13">
        <v>0</v>
      </c>
      <c r="H21" s="13">
        <v>3228.08</v>
      </c>
      <c r="I21" s="57">
        <v>3228.08</v>
      </c>
      <c r="J21" s="13" t="s">
        <v>499</v>
      </c>
      <c r="K21" s="13"/>
      <c r="L21" s="13">
        <v>4.6900000000000004</v>
      </c>
      <c r="M21" s="13">
        <v>15139.69</v>
      </c>
      <c r="N21" s="13">
        <v>0</v>
      </c>
      <c r="O21" s="13">
        <v>15139.69</v>
      </c>
      <c r="P21" s="13">
        <v>15139.69</v>
      </c>
      <c r="Q21" s="31">
        <f t="shared" si="0"/>
        <v>4.6900000000000004</v>
      </c>
    </row>
    <row r="22" spans="1:17" ht="15" x14ac:dyDescent="0.2">
      <c r="A22" s="28"/>
      <c r="B22" s="28"/>
      <c r="C22" s="28"/>
      <c r="D22" s="60"/>
      <c r="E22" s="67"/>
      <c r="F22" s="28"/>
      <c r="G22" s="28"/>
      <c r="H22" s="28"/>
      <c r="I22" s="67"/>
      <c r="J22" s="28"/>
      <c r="K22" s="28"/>
      <c r="L22" s="28"/>
      <c r="M22" s="28"/>
      <c r="N22" s="28"/>
      <c r="O22" s="28"/>
      <c r="P22" s="28"/>
      <c r="Q22" s="31">
        <f t="shared" si="0"/>
        <v>0</v>
      </c>
    </row>
    <row r="23" spans="1:17" ht="15" x14ac:dyDescent="0.2">
      <c r="A23" s="28"/>
      <c r="B23" s="28"/>
      <c r="C23" s="28"/>
      <c r="D23" s="60"/>
      <c r="E23" s="67"/>
      <c r="F23" s="28"/>
      <c r="G23" s="28"/>
      <c r="H23" s="28"/>
      <c r="I23" s="67"/>
      <c r="J23" s="28"/>
      <c r="K23" s="28"/>
      <c r="L23" s="28"/>
      <c r="M23" s="28"/>
      <c r="N23" s="28"/>
      <c r="O23" s="28"/>
      <c r="P23" s="28"/>
      <c r="Q23" s="31">
        <f t="shared" si="0"/>
        <v>0</v>
      </c>
    </row>
    <row r="24" spans="1:17" ht="15.75" outlineLevel="2" x14ac:dyDescent="0.2">
      <c r="A24" s="30">
        <v>20100</v>
      </c>
      <c r="B24" s="28"/>
      <c r="C24" s="30">
        <v>200071</v>
      </c>
      <c r="D24" s="37" t="s">
        <v>13</v>
      </c>
      <c r="E24" s="67"/>
      <c r="F24" s="13"/>
      <c r="G24" s="13">
        <v>0</v>
      </c>
      <c r="H24" s="13">
        <v>0</v>
      </c>
      <c r="I24" s="57">
        <v>0</v>
      </c>
      <c r="J24" s="13"/>
      <c r="K24" s="13"/>
      <c r="L24" s="13" t="s">
        <v>9</v>
      </c>
      <c r="M24" s="13" t="s">
        <v>9</v>
      </c>
      <c r="N24" s="13">
        <v>0</v>
      </c>
      <c r="O24" s="13">
        <v>0</v>
      </c>
      <c r="P24" s="13">
        <v>0</v>
      </c>
      <c r="Q24" s="31">
        <f t="shared" si="0"/>
        <v>0</v>
      </c>
    </row>
    <row r="25" spans="1:17" ht="30" outlineLevel="2" x14ac:dyDescent="0.2">
      <c r="A25" s="30">
        <v>20101</v>
      </c>
      <c r="B25" s="28"/>
      <c r="C25" s="30">
        <v>925291</v>
      </c>
      <c r="D25" s="59" t="s">
        <v>60</v>
      </c>
      <c r="E25" s="57" t="s">
        <v>11</v>
      </c>
      <c r="F25" s="13"/>
      <c r="G25" s="13">
        <v>0</v>
      </c>
      <c r="H25" s="13">
        <v>5119.8599999999997</v>
      </c>
      <c r="I25" s="57"/>
      <c r="J25" s="13" t="s">
        <v>603</v>
      </c>
      <c r="K25" s="13"/>
      <c r="L25" s="13">
        <v>5.5</v>
      </c>
      <c r="M25" s="13">
        <v>28159.23</v>
      </c>
      <c r="N25" s="13">
        <v>0</v>
      </c>
      <c r="O25" s="13">
        <v>28159.23</v>
      </c>
      <c r="P25" s="13">
        <v>28159.23</v>
      </c>
      <c r="Q25" s="31">
        <f t="shared" si="0"/>
        <v>5.5</v>
      </c>
    </row>
    <row r="26" spans="1:17" ht="45" outlineLevel="2" x14ac:dyDescent="0.2">
      <c r="A26" s="30">
        <v>20102</v>
      </c>
      <c r="B26" s="28"/>
      <c r="C26" s="30">
        <v>925292</v>
      </c>
      <c r="D26" s="59" t="s">
        <v>61</v>
      </c>
      <c r="E26" s="57" t="s">
        <v>11</v>
      </c>
      <c r="F26" s="13"/>
      <c r="G26" s="13">
        <v>0</v>
      </c>
      <c r="H26" s="13">
        <v>715.18</v>
      </c>
      <c r="I26" s="57">
        <v>715.18</v>
      </c>
      <c r="J26" s="13"/>
      <c r="K26" s="13"/>
      <c r="L26" s="13">
        <v>51.94</v>
      </c>
      <c r="M26" s="13">
        <v>37146.44</v>
      </c>
      <c r="N26" s="13">
        <v>0</v>
      </c>
      <c r="O26" s="13">
        <v>37146.44</v>
      </c>
      <c r="P26" s="13">
        <v>37146.44</v>
      </c>
      <c r="Q26" s="31">
        <f t="shared" si="0"/>
        <v>51.94</v>
      </c>
    </row>
    <row r="27" spans="1:17" ht="90" outlineLevel="2" x14ac:dyDescent="0.2">
      <c r="A27" s="30">
        <v>20103</v>
      </c>
      <c r="B27" s="28"/>
      <c r="C27" s="30">
        <v>960118</v>
      </c>
      <c r="D27" s="59" t="s">
        <v>62</v>
      </c>
      <c r="E27" s="57" t="s">
        <v>11</v>
      </c>
      <c r="F27" s="13">
        <v>7371</v>
      </c>
      <c r="G27" s="13">
        <v>0</v>
      </c>
      <c r="H27" s="13">
        <v>7371</v>
      </c>
      <c r="I27" s="57">
        <v>7371</v>
      </c>
      <c r="J27" s="13"/>
      <c r="K27" s="13"/>
      <c r="L27" s="13">
        <v>5.54</v>
      </c>
      <c r="M27" s="13">
        <v>40835.339999999997</v>
      </c>
      <c r="N27" s="13">
        <v>0</v>
      </c>
      <c r="O27" s="13">
        <v>40835.339999999997</v>
      </c>
      <c r="P27" s="13">
        <v>40835.339999999997</v>
      </c>
      <c r="Q27" s="31">
        <f t="shared" si="0"/>
        <v>5.54</v>
      </c>
    </row>
    <row r="28" spans="1:17" ht="30" outlineLevel="2" x14ac:dyDescent="0.2">
      <c r="A28" s="30">
        <v>20104</v>
      </c>
      <c r="B28" s="28"/>
      <c r="C28" s="30">
        <v>921119</v>
      </c>
      <c r="D28" s="59" t="s">
        <v>63</v>
      </c>
      <c r="E28" s="57" t="s">
        <v>11</v>
      </c>
      <c r="F28" s="13"/>
      <c r="G28" s="13">
        <v>0</v>
      </c>
      <c r="H28" s="13">
        <v>531.19000000000005</v>
      </c>
      <c r="I28" s="57"/>
      <c r="J28" s="13"/>
      <c r="K28" s="13"/>
      <c r="L28" s="13">
        <v>54.83</v>
      </c>
      <c r="M28" s="13">
        <v>29125.14</v>
      </c>
      <c r="N28" s="13">
        <v>0</v>
      </c>
      <c r="O28" s="13">
        <v>29125.14</v>
      </c>
      <c r="P28" s="13">
        <v>29125.14</v>
      </c>
      <c r="Q28" s="31">
        <f t="shared" si="0"/>
        <v>54.83</v>
      </c>
    </row>
    <row r="29" spans="1:17" ht="15" x14ac:dyDescent="0.2">
      <c r="A29" s="28"/>
      <c r="B29" s="28"/>
      <c r="C29" s="28"/>
      <c r="D29" s="60"/>
      <c r="E29" s="67"/>
      <c r="F29" s="28"/>
      <c r="G29" s="28"/>
      <c r="H29" s="28"/>
      <c r="I29" s="67"/>
      <c r="J29" s="28"/>
      <c r="K29" s="28"/>
      <c r="L29" s="28"/>
      <c r="M29" s="28"/>
      <c r="N29" s="28"/>
      <c r="O29" s="28"/>
      <c r="P29" s="28"/>
      <c r="Q29" s="31">
        <f t="shared" si="0"/>
        <v>0</v>
      </c>
    </row>
    <row r="30" spans="1:17" ht="15" x14ac:dyDescent="0.2">
      <c r="A30" s="28"/>
      <c r="B30" s="28"/>
      <c r="C30" s="28"/>
      <c r="D30" s="60"/>
      <c r="E30" s="67"/>
      <c r="F30" s="28"/>
      <c r="G30" s="28"/>
      <c r="H30" s="28"/>
      <c r="I30" s="67"/>
      <c r="J30" s="28"/>
      <c r="K30" s="28"/>
      <c r="L30" s="28"/>
      <c r="M30" s="28"/>
      <c r="N30" s="28"/>
      <c r="O30" s="28"/>
      <c r="P30" s="28"/>
      <c r="Q30" s="31">
        <f t="shared" si="0"/>
        <v>0</v>
      </c>
    </row>
    <row r="31" spans="1:17" ht="15.75" outlineLevel="2" x14ac:dyDescent="0.2">
      <c r="A31" s="30">
        <v>30100</v>
      </c>
      <c r="B31" s="28"/>
      <c r="C31" s="30">
        <v>645158</v>
      </c>
      <c r="D31" s="37" t="s">
        <v>14</v>
      </c>
      <c r="E31" s="67"/>
      <c r="F31" s="13" t="s">
        <v>9</v>
      </c>
      <c r="G31" s="13">
        <v>0</v>
      </c>
      <c r="H31" s="13">
        <v>0</v>
      </c>
      <c r="I31" s="57"/>
      <c r="J31" s="13"/>
      <c r="K31" s="13"/>
      <c r="L31" s="13" t="s">
        <v>9</v>
      </c>
      <c r="M31" s="13" t="s">
        <v>9</v>
      </c>
      <c r="N31" s="13">
        <v>0</v>
      </c>
      <c r="O31" s="13">
        <v>0</v>
      </c>
      <c r="P31" s="13">
        <v>0</v>
      </c>
      <c r="Q31" s="31">
        <f t="shared" si="0"/>
        <v>0</v>
      </c>
    </row>
    <row r="32" spans="1:17" ht="75" outlineLevel="2" x14ac:dyDescent="0.2">
      <c r="A32" s="30">
        <v>30101</v>
      </c>
      <c r="B32" s="28"/>
      <c r="C32" s="30">
        <v>925293</v>
      </c>
      <c r="D32" s="59" t="s">
        <v>64</v>
      </c>
      <c r="E32" s="57" t="s">
        <v>15</v>
      </c>
      <c r="F32" s="13">
        <v>2414.6999999999998</v>
      </c>
      <c r="G32" s="13">
        <v>0</v>
      </c>
      <c r="H32" s="13">
        <v>2414.6999999999998</v>
      </c>
      <c r="I32" s="57">
        <v>2414.6999999999998</v>
      </c>
      <c r="J32" s="13"/>
      <c r="K32" s="13"/>
      <c r="L32" s="13">
        <v>79.790000000000006</v>
      </c>
      <c r="M32" s="13">
        <v>192668.91</v>
      </c>
      <c r="N32" s="13">
        <v>0</v>
      </c>
      <c r="O32" s="13">
        <v>192668.91</v>
      </c>
      <c r="P32" s="13">
        <v>192668.91</v>
      </c>
      <c r="Q32" s="31">
        <f t="shared" si="0"/>
        <v>79.790000000000006</v>
      </c>
    </row>
    <row r="33" spans="1:24" ht="45" outlineLevel="2" x14ac:dyDescent="0.2">
      <c r="A33" s="30">
        <v>30102</v>
      </c>
      <c r="B33" s="28"/>
      <c r="C33" s="30">
        <v>925294</v>
      </c>
      <c r="D33" s="59" t="s">
        <v>65</v>
      </c>
      <c r="E33" s="57" t="s">
        <v>11</v>
      </c>
      <c r="F33" s="13">
        <v>18.010000000000002</v>
      </c>
      <c r="G33" s="13">
        <v>0</v>
      </c>
      <c r="H33" s="13">
        <v>18.010000000000002</v>
      </c>
      <c r="I33" s="57">
        <v>18.010000000000002</v>
      </c>
      <c r="J33" s="13"/>
      <c r="K33" s="13"/>
      <c r="L33" s="13">
        <v>79.260000000000005</v>
      </c>
      <c r="M33" s="13">
        <v>1427.47</v>
      </c>
      <c r="N33" s="13">
        <v>0</v>
      </c>
      <c r="O33" s="13">
        <v>1427.47</v>
      </c>
      <c r="P33" s="13">
        <v>1427.47</v>
      </c>
      <c r="Q33" s="31">
        <f t="shared" si="0"/>
        <v>79.260000000000005</v>
      </c>
    </row>
    <row r="34" spans="1:24" ht="75" outlineLevel="2" x14ac:dyDescent="0.2">
      <c r="A34" s="30">
        <v>30103</v>
      </c>
      <c r="B34" s="28"/>
      <c r="C34" s="30">
        <v>925295</v>
      </c>
      <c r="D34" s="59" t="s">
        <v>66</v>
      </c>
      <c r="E34" s="57" t="s">
        <v>10</v>
      </c>
      <c r="F34" s="13">
        <v>351.68</v>
      </c>
      <c r="G34" s="13">
        <v>0</v>
      </c>
      <c r="H34" s="13">
        <v>351.68</v>
      </c>
      <c r="I34" s="57">
        <v>351.68</v>
      </c>
      <c r="J34" s="13"/>
      <c r="K34" s="13"/>
      <c r="L34" s="13">
        <v>10.39</v>
      </c>
      <c r="M34" s="13">
        <v>3653.95</v>
      </c>
      <c r="N34" s="13">
        <v>0</v>
      </c>
      <c r="O34" s="13">
        <v>3653.95</v>
      </c>
      <c r="P34" s="13">
        <v>3653.95</v>
      </c>
      <c r="Q34" s="31">
        <f t="shared" si="0"/>
        <v>10.39</v>
      </c>
    </row>
    <row r="35" spans="1:24" ht="75" outlineLevel="2" x14ac:dyDescent="0.2">
      <c r="A35" s="30">
        <v>30104</v>
      </c>
      <c r="B35" s="28"/>
      <c r="C35" s="30">
        <v>925296</v>
      </c>
      <c r="D35" s="59" t="s">
        <v>67</v>
      </c>
      <c r="E35" s="57" t="s">
        <v>10</v>
      </c>
      <c r="F35" s="13">
        <v>1440.23</v>
      </c>
      <c r="G35" s="13">
        <v>0</v>
      </c>
      <c r="H35" s="13">
        <v>1440.23</v>
      </c>
      <c r="I35" s="57">
        <v>1440.23</v>
      </c>
      <c r="J35" s="13"/>
      <c r="K35" s="13"/>
      <c r="L35" s="13">
        <v>30.57</v>
      </c>
      <c r="M35" s="13">
        <v>44027.83</v>
      </c>
      <c r="N35" s="13">
        <v>0</v>
      </c>
      <c r="O35" s="13">
        <v>44027.83</v>
      </c>
      <c r="P35" s="13">
        <v>44027.83</v>
      </c>
      <c r="Q35" s="31">
        <f t="shared" si="0"/>
        <v>30.57</v>
      </c>
    </row>
    <row r="36" spans="1:24" ht="75" outlineLevel="2" x14ac:dyDescent="0.2">
      <c r="A36" s="30">
        <v>30105</v>
      </c>
      <c r="B36" s="28"/>
      <c r="C36" s="30">
        <v>921931</v>
      </c>
      <c r="D36" s="59" t="s">
        <v>68</v>
      </c>
      <c r="E36" s="57" t="s">
        <v>16</v>
      </c>
      <c r="F36" s="13">
        <v>560</v>
      </c>
      <c r="G36" s="13">
        <v>0</v>
      </c>
      <c r="H36" s="13">
        <v>560</v>
      </c>
      <c r="I36" s="57">
        <v>560</v>
      </c>
      <c r="J36" s="13"/>
      <c r="K36" s="13"/>
      <c r="L36" s="13">
        <v>10.57</v>
      </c>
      <c r="M36" s="13">
        <v>5919.2</v>
      </c>
      <c r="N36" s="13">
        <v>0</v>
      </c>
      <c r="O36" s="13">
        <v>5919.2</v>
      </c>
      <c r="P36" s="13">
        <v>5919.2</v>
      </c>
      <c r="Q36" s="31">
        <f t="shared" si="0"/>
        <v>10.57</v>
      </c>
    </row>
    <row r="37" spans="1:24" ht="75" outlineLevel="2" x14ac:dyDescent="0.2">
      <c r="A37" s="30">
        <v>30106</v>
      </c>
      <c r="B37" s="28"/>
      <c r="C37" s="30">
        <v>921932</v>
      </c>
      <c r="D37" s="59" t="s">
        <v>69</v>
      </c>
      <c r="E37" s="57" t="s">
        <v>16</v>
      </c>
      <c r="F37" s="13">
        <v>3495.31</v>
      </c>
      <c r="G37" s="13">
        <v>0</v>
      </c>
      <c r="H37" s="13">
        <v>3495.31</v>
      </c>
      <c r="I37" s="57">
        <v>3495.31</v>
      </c>
      <c r="J37" s="13"/>
      <c r="K37" s="13"/>
      <c r="L37" s="13">
        <v>12.01</v>
      </c>
      <c r="M37" s="13">
        <v>41978.67</v>
      </c>
      <c r="N37" s="13">
        <v>0</v>
      </c>
      <c r="O37" s="13">
        <v>41978.67</v>
      </c>
      <c r="P37" s="13">
        <v>41978.67</v>
      </c>
      <c r="Q37" s="31">
        <f t="shared" si="0"/>
        <v>12.01</v>
      </c>
    </row>
    <row r="38" spans="1:24" ht="45" outlineLevel="2" x14ac:dyDescent="0.2">
      <c r="A38" s="30">
        <v>30107</v>
      </c>
      <c r="B38" s="28"/>
      <c r="C38" s="30">
        <v>948721</v>
      </c>
      <c r="D38" s="59" t="s">
        <v>70</v>
      </c>
      <c r="E38" s="57" t="s">
        <v>11</v>
      </c>
      <c r="F38" s="13">
        <v>171.91</v>
      </c>
      <c r="G38" s="13">
        <v>0</v>
      </c>
      <c r="H38" s="13">
        <v>171.91</v>
      </c>
      <c r="I38" s="57">
        <v>171.91</v>
      </c>
      <c r="J38" s="13"/>
      <c r="K38" s="13"/>
      <c r="L38" s="13">
        <v>90.89</v>
      </c>
      <c r="M38" s="13">
        <v>15624.89</v>
      </c>
      <c r="N38" s="13">
        <v>0</v>
      </c>
      <c r="O38" s="13">
        <v>15624.89</v>
      </c>
      <c r="P38" s="13">
        <v>15624.89</v>
      </c>
      <c r="Q38" s="31">
        <f t="shared" si="0"/>
        <v>90.89</v>
      </c>
    </row>
    <row r="39" spans="1:24" ht="75" outlineLevel="2" x14ac:dyDescent="0.2">
      <c r="A39" s="30">
        <v>30108</v>
      </c>
      <c r="B39" s="28"/>
      <c r="C39" s="30">
        <v>921196</v>
      </c>
      <c r="D39" s="59" t="s">
        <v>71</v>
      </c>
      <c r="E39" s="57" t="s">
        <v>11</v>
      </c>
      <c r="F39" s="13">
        <v>171.91</v>
      </c>
      <c r="G39" s="13">
        <v>0</v>
      </c>
      <c r="H39" s="13">
        <v>171.91</v>
      </c>
      <c r="I39" s="57">
        <v>171.91</v>
      </c>
      <c r="J39" s="13"/>
      <c r="K39" s="13"/>
      <c r="L39" s="13">
        <v>302.95999999999998</v>
      </c>
      <c r="M39" s="13">
        <v>52081.85</v>
      </c>
      <c r="N39" s="13">
        <v>0</v>
      </c>
      <c r="O39" s="13">
        <v>52081.85</v>
      </c>
      <c r="P39" s="13">
        <v>52081.85</v>
      </c>
      <c r="Q39" s="31">
        <f t="shared" si="0"/>
        <v>302.95999999999998</v>
      </c>
    </row>
    <row r="40" spans="1:24" ht="75" outlineLevel="2" x14ac:dyDescent="0.2">
      <c r="A40" s="30">
        <v>30109</v>
      </c>
      <c r="B40" s="28"/>
      <c r="C40" s="30">
        <v>923371</v>
      </c>
      <c r="D40" s="59" t="s">
        <v>72</v>
      </c>
      <c r="E40" s="57" t="s">
        <v>16</v>
      </c>
      <c r="F40" s="13">
        <v>3420.2</v>
      </c>
      <c r="G40" s="13">
        <v>0</v>
      </c>
      <c r="H40" s="13">
        <v>3420.2</v>
      </c>
      <c r="I40" s="57">
        <v>3420.2</v>
      </c>
      <c r="J40" s="13"/>
      <c r="K40" s="13"/>
      <c r="L40" s="13">
        <v>8.5</v>
      </c>
      <c r="M40" s="13">
        <v>29071.7</v>
      </c>
      <c r="N40" s="13">
        <v>0</v>
      </c>
      <c r="O40" s="13">
        <v>29071.7</v>
      </c>
      <c r="P40" s="13">
        <v>29071.7</v>
      </c>
      <c r="Q40" s="31">
        <f t="shared" si="0"/>
        <v>8.5</v>
      </c>
      <c r="X40" s="20"/>
    </row>
    <row r="41" spans="1:24" ht="75" outlineLevel="2" x14ac:dyDescent="0.2">
      <c r="A41" s="30">
        <v>30110</v>
      </c>
      <c r="B41" s="28"/>
      <c r="C41" s="30">
        <v>920386</v>
      </c>
      <c r="D41" s="59" t="s">
        <v>73</v>
      </c>
      <c r="E41" s="57" t="s">
        <v>16</v>
      </c>
      <c r="F41" s="13" t="s">
        <v>9</v>
      </c>
      <c r="G41" s="13">
        <v>0</v>
      </c>
      <c r="H41" s="13">
        <v>0</v>
      </c>
      <c r="I41" s="57">
        <v>0</v>
      </c>
      <c r="J41" s="13"/>
      <c r="K41" s="13"/>
      <c r="L41" s="13">
        <v>7.2</v>
      </c>
      <c r="M41" s="13" t="s">
        <v>9</v>
      </c>
      <c r="N41" s="13">
        <v>0</v>
      </c>
      <c r="O41" s="13">
        <v>0</v>
      </c>
      <c r="P41" s="13">
        <v>0</v>
      </c>
      <c r="Q41" s="31">
        <f t="shared" si="0"/>
        <v>7.2</v>
      </c>
    </row>
    <row r="42" spans="1:24" ht="75" outlineLevel="2" x14ac:dyDescent="0.2">
      <c r="A42" s="30">
        <v>30111</v>
      </c>
      <c r="B42" s="28"/>
      <c r="C42" s="30">
        <v>922338</v>
      </c>
      <c r="D42" s="59" t="s">
        <v>74</v>
      </c>
      <c r="E42" s="57" t="s">
        <v>10</v>
      </c>
      <c r="F42" s="13">
        <v>760.28</v>
      </c>
      <c r="G42" s="13">
        <v>0</v>
      </c>
      <c r="H42" s="13">
        <v>760.28</v>
      </c>
      <c r="I42" s="57">
        <v>760.28</v>
      </c>
      <c r="J42" s="13"/>
      <c r="K42" s="13"/>
      <c r="L42" s="13">
        <v>8.33</v>
      </c>
      <c r="M42" s="13">
        <v>6333.13</v>
      </c>
      <c r="N42" s="13">
        <v>0</v>
      </c>
      <c r="O42" s="13">
        <v>6333.13</v>
      </c>
      <c r="P42" s="13">
        <v>6333.13</v>
      </c>
      <c r="Q42" s="31">
        <f t="shared" si="0"/>
        <v>8.33</v>
      </c>
    </row>
    <row r="43" spans="1:24" ht="15" x14ac:dyDescent="0.2">
      <c r="A43" s="28"/>
      <c r="B43" s="28"/>
      <c r="C43" s="28"/>
      <c r="D43" s="60"/>
      <c r="E43" s="67"/>
      <c r="F43" s="28"/>
      <c r="G43" s="28"/>
      <c r="H43" s="28"/>
      <c r="I43" s="67"/>
      <c r="J43" s="28"/>
      <c r="K43" s="28"/>
      <c r="L43" s="28"/>
      <c r="M43" s="28"/>
      <c r="N43" s="28"/>
      <c r="O43" s="28"/>
      <c r="P43" s="28"/>
      <c r="Q43" s="31">
        <f t="shared" si="0"/>
        <v>0</v>
      </c>
    </row>
    <row r="44" spans="1:24" ht="30" x14ac:dyDescent="0.2">
      <c r="A44" s="28"/>
      <c r="B44" s="28"/>
      <c r="C44" s="28"/>
      <c r="D44" s="59" t="s">
        <v>604</v>
      </c>
      <c r="E44" s="67"/>
      <c r="F44" s="28"/>
      <c r="G44" s="28"/>
      <c r="H44" s="28"/>
      <c r="I44" s="67"/>
      <c r="J44" s="28"/>
      <c r="K44" s="28"/>
      <c r="L44" s="28"/>
      <c r="M44" s="28"/>
      <c r="N44" s="28"/>
      <c r="O44" s="28"/>
      <c r="P44" s="28"/>
      <c r="Q44" s="31">
        <f t="shared" si="0"/>
        <v>0</v>
      </c>
    </row>
    <row r="45" spans="1:24" ht="15.75" outlineLevel="2" x14ac:dyDescent="0.2">
      <c r="A45" s="30">
        <v>40100</v>
      </c>
      <c r="B45" s="28"/>
      <c r="C45" s="30">
        <v>951300</v>
      </c>
      <c r="D45" s="37" t="s">
        <v>17</v>
      </c>
      <c r="E45" s="67"/>
      <c r="F45" s="13" t="s">
        <v>9</v>
      </c>
      <c r="G45" s="13">
        <v>0</v>
      </c>
      <c r="H45" s="13">
        <v>0</v>
      </c>
      <c r="I45" s="57">
        <v>0</v>
      </c>
      <c r="J45" s="13"/>
      <c r="K45" s="13"/>
      <c r="L45" s="13" t="s">
        <v>9</v>
      </c>
      <c r="M45" s="13" t="s">
        <v>9</v>
      </c>
      <c r="N45" s="13">
        <v>0</v>
      </c>
      <c r="O45" s="13">
        <v>0</v>
      </c>
      <c r="P45" s="13">
        <v>0</v>
      </c>
      <c r="Q45" s="31">
        <f t="shared" ref="Q45:Q65" si="1">PRODUCT(K45,L45)</f>
        <v>0</v>
      </c>
    </row>
    <row r="46" spans="1:24" ht="120" outlineLevel="2" x14ac:dyDescent="0.2">
      <c r="A46" s="30">
        <v>40101</v>
      </c>
      <c r="B46" s="28"/>
      <c r="C46" s="30">
        <v>923182</v>
      </c>
      <c r="D46" s="59" t="s">
        <v>75</v>
      </c>
      <c r="E46" s="57" t="s">
        <v>16</v>
      </c>
      <c r="F46" s="13">
        <v>4125.3500000000004</v>
      </c>
      <c r="G46" s="13">
        <v>0</v>
      </c>
      <c r="H46" s="13">
        <v>4125.3500000000004</v>
      </c>
      <c r="I46" s="57">
        <v>4125.3500000000004</v>
      </c>
      <c r="J46" s="13"/>
      <c r="K46" s="13"/>
      <c r="L46" s="13">
        <v>8.4600000000000009</v>
      </c>
      <c r="M46" s="13">
        <v>34900.46</v>
      </c>
      <c r="N46" s="13">
        <v>0</v>
      </c>
      <c r="O46" s="13">
        <v>34900.46</v>
      </c>
      <c r="P46" s="13">
        <v>34900.46</v>
      </c>
      <c r="Q46" s="31">
        <f t="shared" si="1"/>
        <v>8.4600000000000009</v>
      </c>
    </row>
    <row r="47" spans="1:24" ht="120" outlineLevel="2" x14ac:dyDescent="0.2">
      <c r="A47" s="30">
        <v>40102</v>
      </c>
      <c r="B47" s="28"/>
      <c r="C47" s="30">
        <v>925297</v>
      </c>
      <c r="D47" s="59" t="s">
        <v>76</v>
      </c>
      <c r="E47" s="57" t="s">
        <v>16</v>
      </c>
      <c r="F47" s="13">
        <v>3807.9</v>
      </c>
      <c r="G47" s="13">
        <v>0</v>
      </c>
      <c r="H47" s="13">
        <v>3807.9</v>
      </c>
      <c r="I47" s="57">
        <v>3807.9</v>
      </c>
      <c r="J47" s="13"/>
      <c r="K47" s="13"/>
      <c r="L47" s="13">
        <v>7.54</v>
      </c>
      <c r="M47" s="13">
        <v>28711.56</v>
      </c>
      <c r="N47" s="13">
        <v>0</v>
      </c>
      <c r="O47" s="13">
        <v>28711.56</v>
      </c>
      <c r="P47" s="13">
        <v>28711.56</v>
      </c>
      <c r="Q47" s="31">
        <f t="shared" si="1"/>
        <v>7.54</v>
      </c>
    </row>
    <row r="48" spans="1:24" ht="120" outlineLevel="2" x14ac:dyDescent="0.2">
      <c r="A48" s="30">
        <v>40103</v>
      </c>
      <c r="B48" s="28"/>
      <c r="C48" s="30">
        <v>925298</v>
      </c>
      <c r="D48" s="59" t="s">
        <v>77</v>
      </c>
      <c r="E48" s="57" t="s">
        <v>16</v>
      </c>
      <c r="F48" s="13">
        <v>100</v>
      </c>
      <c r="G48" s="13">
        <v>0</v>
      </c>
      <c r="H48" s="13">
        <v>100</v>
      </c>
      <c r="I48" s="57">
        <v>100</v>
      </c>
      <c r="J48" s="13"/>
      <c r="K48" s="13"/>
      <c r="L48" s="13">
        <v>6.98</v>
      </c>
      <c r="M48" s="13">
        <v>698</v>
      </c>
      <c r="N48" s="13">
        <v>0</v>
      </c>
      <c r="O48" s="13">
        <v>698</v>
      </c>
      <c r="P48" s="13">
        <v>698</v>
      </c>
      <c r="Q48" s="31">
        <f t="shared" si="1"/>
        <v>6.98</v>
      </c>
    </row>
    <row r="49" spans="1:17" ht="120" outlineLevel="2" x14ac:dyDescent="0.2">
      <c r="A49" s="30">
        <v>40104</v>
      </c>
      <c r="B49" s="28"/>
      <c r="C49" s="30">
        <v>923495</v>
      </c>
      <c r="D49" s="59" t="s">
        <v>78</v>
      </c>
      <c r="E49" s="57" t="s">
        <v>16</v>
      </c>
      <c r="F49" s="13">
        <v>2630.43</v>
      </c>
      <c r="G49" s="13">
        <v>0</v>
      </c>
      <c r="H49" s="13">
        <v>2630.43</v>
      </c>
      <c r="I49" s="57">
        <v>2630.43</v>
      </c>
      <c r="J49" s="13"/>
      <c r="K49" s="13"/>
      <c r="L49" s="13">
        <v>12</v>
      </c>
      <c r="M49" s="13">
        <v>31565.16</v>
      </c>
      <c r="N49" s="13">
        <v>0</v>
      </c>
      <c r="O49" s="13">
        <v>31565.16</v>
      </c>
      <c r="P49" s="13">
        <v>31565.16</v>
      </c>
      <c r="Q49" s="31">
        <f t="shared" si="1"/>
        <v>12</v>
      </c>
    </row>
    <row r="50" spans="1:17" ht="105" outlineLevel="2" x14ac:dyDescent="0.2">
      <c r="A50" s="30">
        <v>40105</v>
      </c>
      <c r="B50" s="28"/>
      <c r="C50" s="30">
        <v>920802</v>
      </c>
      <c r="D50" s="59" t="s">
        <v>79</v>
      </c>
      <c r="E50" s="57" t="s">
        <v>11</v>
      </c>
      <c r="F50" s="13">
        <v>46.74</v>
      </c>
      <c r="G50" s="13">
        <v>0</v>
      </c>
      <c r="H50" s="13">
        <v>46.74</v>
      </c>
      <c r="I50" s="57">
        <v>46.74</v>
      </c>
      <c r="J50" s="13"/>
      <c r="K50" s="13"/>
      <c r="L50" s="13">
        <v>435.34</v>
      </c>
      <c r="M50" s="13">
        <v>20347.79</v>
      </c>
      <c r="N50" s="13">
        <v>0</v>
      </c>
      <c r="O50" s="13">
        <v>20347.79</v>
      </c>
      <c r="P50" s="13">
        <v>20347.79</v>
      </c>
      <c r="Q50" s="31">
        <f t="shared" si="1"/>
        <v>435.34</v>
      </c>
    </row>
    <row r="51" spans="1:17" ht="150" outlineLevel="2" x14ac:dyDescent="0.2">
      <c r="A51" s="30">
        <v>40106</v>
      </c>
      <c r="B51" s="28"/>
      <c r="C51" s="30">
        <v>923373</v>
      </c>
      <c r="D51" s="59" t="s">
        <v>80</v>
      </c>
      <c r="E51" s="57" t="s">
        <v>10</v>
      </c>
      <c r="F51" s="13">
        <v>951.71</v>
      </c>
      <c r="G51" s="13">
        <v>0</v>
      </c>
      <c r="H51" s="13">
        <v>951.71</v>
      </c>
      <c r="I51" s="57">
        <v>951.71</v>
      </c>
      <c r="J51" s="13"/>
      <c r="K51" s="13"/>
      <c r="L51" s="13">
        <v>33.69</v>
      </c>
      <c r="M51" s="13">
        <v>32063.1</v>
      </c>
      <c r="N51" s="13">
        <v>0</v>
      </c>
      <c r="O51" s="13">
        <v>32063.1</v>
      </c>
      <c r="P51" s="13">
        <v>32063.1</v>
      </c>
      <c r="Q51" s="31">
        <f t="shared" si="1"/>
        <v>33.69</v>
      </c>
    </row>
    <row r="52" spans="1:17" ht="120" outlineLevel="2" x14ac:dyDescent="0.2">
      <c r="A52" s="30">
        <v>40107</v>
      </c>
      <c r="B52" s="28"/>
      <c r="C52" s="30">
        <v>925299</v>
      </c>
      <c r="D52" s="59" t="s">
        <v>81</v>
      </c>
      <c r="E52" s="57" t="s">
        <v>16</v>
      </c>
      <c r="F52" s="13">
        <v>366</v>
      </c>
      <c r="G52" s="13">
        <v>0</v>
      </c>
      <c r="H52" s="13">
        <v>366</v>
      </c>
      <c r="I52" s="57">
        <v>366</v>
      </c>
      <c r="J52" s="13"/>
      <c r="K52" s="13"/>
      <c r="L52" s="13">
        <v>10.6</v>
      </c>
      <c r="M52" s="13">
        <v>3879.6</v>
      </c>
      <c r="N52" s="13">
        <v>0</v>
      </c>
      <c r="O52" s="13">
        <v>3879.6</v>
      </c>
      <c r="P52" s="13">
        <v>3879.6</v>
      </c>
      <c r="Q52" s="31">
        <f t="shared" si="1"/>
        <v>10.6</v>
      </c>
    </row>
    <row r="53" spans="1:17" ht="120" outlineLevel="2" x14ac:dyDescent="0.2">
      <c r="A53" s="30">
        <v>40108</v>
      </c>
      <c r="B53" s="28"/>
      <c r="C53" s="30">
        <v>923497</v>
      </c>
      <c r="D53" s="59" t="s">
        <v>82</v>
      </c>
      <c r="E53" s="57" t="s">
        <v>16</v>
      </c>
      <c r="F53" s="13">
        <v>874.76</v>
      </c>
      <c r="G53" s="13">
        <v>0</v>
      </c>
      <c r="H53" s="13">
        <v>874.76</v>
      </c>
      <c r="I53" s="57">
        <v>874.76</v>
      </c>
      <c r="J53" s="13"/>
      <c r="K53" s="13"/>
      <c r="L53" s="13">
        <v>10.37</v>
      </c>
      <c r="M53" s="13">
        <v>9071.26</v>
      </c>
      <c r="N53" s="13">
        <v>0</v>
      </c>
      <c r="O53" s="13">
        <v>9071.26</v>
      </c>
      <c r="P53" s="13">
        <v>9071.26</v>
      </c>
      <c r="Q53" s="31">
        <f t="shared" si="1"/>
        <v>10.37</v>
      </c>
    </row>
    <row r="54" spans="1:17" ht="135" outlineLevel="2" x14ac:dyDescent="0.2">
      <c r="A54" s="30">
        <v>40109</v>
      </c>
      <c r="B54" s="28"/>
      <c r="C54" s="30">
        <v>925300</v>
      </c>
      <c r="D54" s="59" t="s">
        <v>83</v>
      </c>
      <c r="E54" s="57" t="s">
        <v>11</v>
      </c>
      <c r="F54" s="13">
        <v>63.02</v>
      </c>
      <c r="G54" s="13">
        <v>0</v>
      </c>
      <c r="H54" s="13">
        <v>63.02</v>
      </c>
      <c r="I54" s="57">
        <v>63.02</v>
      </c>
      <c r="J54" s="13"/>
      <c r="K54" s="13"/>
      <c r="L54" s="13">
        <v>353.63</v>
      </c>
      <c r="M54" s="13">
        <v>22285.759999999998</v>
      </c>
      <c r="N54" s="13">
        <v>0</v>
      </c>
      <c r="O54" s="13">
        <v>22285.759999999998</v>
      </c>
      <c r="P54" s="13">
        <v>22285.759999999998</v>
      </c>
      <c r="Q54" s="31">
        <f t="shared" si="1"/>
        <v>353.63</v>
      </c>
    </row>
    <row r="55" spans="1:17" ht="105" outlineLevel="2" x14ac:dyDescent="0.2">
      <c r="A55" s="30">
        <v>40110</v>
      </c>
      <c r="B55" s="28"/>
      <c r="C55" s="30">
        <v>923562</v>
      </c>
      <c r="D55" s="59" t="s">
        <v>84</v>
      </c>
      <c r="E55" s="57" t="s">
        <v>10</v>
      </c>
      <c r="F55" s="13">
        <v>1179.1199999999999</v>
      </c>
      <c r="G55" s="13">
        <v>0</v>
      </c>
      <c r="H55" s="13">
        <v>1179.1199999999999</v>
      </c>
      <c r="I55" s="57">
        <v>1179.1199999999999</v>
      </c>
      <c r="J55" s="13"/>
      <c r="K55" s="13"/>
      <c r="L55" s="13">
        <v>75.430000000000007</v>
      </c>
      <c r="M55" s="13">
        <v>88941.02</v>
      </c>
      <c r="N55" s="13">
        <v>0</v>
      </c>
      <c r="O55" s="13">
        <v>88941.02</v>
      </c>
      <c r="P55" s="13">
        <v>88941.02</v>
      </c>
      <c r="Q55" s="31">
        <f t="shared" si="1"/>
        <v>75.430000000000007</v>
      </c>
    </row>
    <row r="56" spans="1:17" ht="105" outlineLevel="2" x14ac:dyDescent="0.2">
      <c r="A56" s="30">
        <v>40111</v>
      </c>
      <c r="B56" s="28"/>
      <c r="C56" s="30">
        <v>925301</v>
      </c>
      <c r="D56" s="59" t="s">
        <v>85</v>
      </c>
      <c r="E56" s="57" t="s">
        <v>10</v>
      </c>
      <c r="F56" s="13">
        <v>1326.65</v>
      </c>
      <c r="G56" s="13">
        <v>0</v>
      </c>
      <c r="H56" s="13">
        <v>1326.65</v>
      </c>
      <c r="I56" s="57">
        <v>1326.65</v>
      </c>
      <c r="J56" s="13"/>
      <c r="K56" s="13"/>
      <c r="L56" s="13">
        <v>76.97</v>
      </c>
      <c r="M56" s="13">
        <v>102112.25</v>
      </c>
      <c r="N56" s="13">
        <v>0</v>
      </c>
      <c r="O56" s="13">
        <v>102112.25</v>
      </c>
      <c r="P56" s="13">
        <v>102112.25</v>
      </c>
      <c r="Q56" s="31">
        <f t="shared" si="1"/>
        <v>76.97</v>
      </c>
    </row>
    <row r="57" spans="1:17" ht="60" outlineLevel="2" x14ac:dyDescent="0.2">
      <c r="A57" s="30">
        <v>40112</v>
      </c>
      <c r="B57" s="28"/>
      <c r="C57" s="30">
        <v>923500</v>
      </c>
      <c r="D57" s="59" t="s">
        <v>86</v>
      </c>
      <c r="E57" s="57" t="s">
        <v>15</v>
      </c>
      <c r="F57" s="13">
        <v>20.9</v>
      </c>
      <c r="G57" s="13">
        <v>0</v>
      </c>
      <c r="H57" s="13">
        <v>20.9</v>
      </c>
      <c r="I57" s="57">
        <v>20.9</v>
      </c>
      <c r="J57" s="13"/>
      <c r="K57" s="13"/>
      <c r="L57" s="13">
        <v>22.38</v>
      </c>
      <c r="M57" s="13">
        <v>467.74</v>
      </c>
      <c r="N57" s="13">
        <v>0</v>
      </c>
      <c r="O57" s="13">
        <v>467.74</v>
      </c>
      <c r="P57" s="13">
        <v>467.74</v>
      </c>
      <c r="Q57" s="31">
        <f t="shared" si="1"/>
        <v>22.38</v>
      </c>
    </row>
    <row r="58" spans="1:17" ht="60" outlineLevel="2" x14ac:dyDescent="0.2">
      <c r="A58" s="30">
        <v>40113</v>
      </c>
      <c r="B58" s="28"/>
      <c r="C58" s="30">
        <v>923499</v>
      </c>
      <c r="D58" s="59" t="s">
        <v>87</v>
      </c>
      <c r="E58" s="57" t="s">
        <v>15</v>
      </c>
      <c r="F58" s="13">
        <v>20.9</v>
      </c>
      <c r="G58" s="13">
        <v>0</v>
      </c>
      <c r="H58" s="13">
        <v>20.9</v>
      </c>
      <c r="I58" s="57">
        <v>20.9</v>
      </c>
      <c r="J58" s="13"/>
      <c r="K58" s="13"/>
      <c r="L58" s="13">
        <v>22.07</v>
      </c>
      <c r="M58" s="13">
        <v>461.26</v>
      </c>
      <c r="N58" s="13">
        <v>0</v>
      </c>
      <c r="O58" s="13">
        <v>461.26</v>
      </c>
      <c r="P58" s="13">
        <v>461.26</v>
      </c>
      <c r="Q58" s="31">
        <f t="shared" si="1"/>
        <v>22.07</v>
      </c>
    </row>
    <row r="59" spans="1:17" ht="60" outlineLevel="2" x14ac:dyDescent="0.2">
      <c r="A59" s="30">
        <v>40114</v>
      </c>
      <c r="B59" s="28"/>
      <c r="C59" s="30">
        <v>925302</v>
      </c>
      <c r="D59" s="59" t="s">
        <v>88</v>
      </c>
      <c r="E59" s="57" t="s">
        <v>15</v>
      </c>
      <c r="F59" s="13">
        <v>250.45</v>
      </c>
      <c r="G59" s="13">
        <v>0</v>
      </c>
      <c r="H59" s="13">
        <v>250.45</v>
      </c>
      <c r="I59" s="57">
        <v>250.45</v>
      </c>
      <c r="J59" s="13"/>
      <c r="K59" s="13"/>
      <c r="L59" s="13">
        <v>28.8</v>
      </c>
      <c r="M59" s="13">
        <v>7212.96</v>
      </c>
      <c r="N59" s="13">
        <v>0</v>
      </c>
      <c r="O59" s="13">
        <v>7212.96</v>
      </c>
      <c r="P59" s="13">
        <v>7212.96</v>
      </c>
      <c r="Q59" s="31">
        <f t="shared" si="1"/>
        <v>28.8</v>
      </c>
    </row>
    <row r="60" spans="1:17" ht="60" outlineLevel="2" x14ac:dyDescent="0.2">
      <c r="A60" s="30">
        <v>40115</v>
      </c>
      <c r="B60" s="28"/>
      <c r="C60" s="30">
        <v>921937</v>
      </c>
      <c r="D60" s="59" t="s">
        <v>89</v>
      </c>
      <c r="E60" s="57" t="s">
        <v>15</v>
      </c>
      <c r="F60" s="13">
        <v>250.45</v>
      </c>
      <c r="G60" s="13">
        <v>0</v>
      </c>
      <c r="H60" s="13">
        <v>250.45</v>
      </c>
      <c r="I60" s="57">
        <v>250.45</v>
      </c>
      <c r="J60" s="13"/>
      <c r="K60" s="13"/>
      <c r="L60" s="13">
        <v>26.02</v>
      </c>
      <c r="M60" s="13">
        <v>6516.7</v>
      </c>
      <c r="N60" s="13">
        <v>0</v>
      </c>
      <c r="O60" s="13">
        <v>6516.7</v>
      </c>
      <c r="P60" s="13">
        <v>6516.7</v>
      </c>
      <c r="Q60" s="31">
        <f t="shared" si="1"/>
        <v>26.02</v>
      </c>
    </row>
    <row r="61" spans="1:17" ht="60" outlineLevel="2" x14ac:dyDescent="0.2">
      <c r="A61" s="30">
        <v>40116</v>
      </c>
      <c r="B61" s="28"/>
      <c r="C61" s="30">
        <v>923501</v>
      </c>
      <c r="D61" s="59" t="s">
        <v>90</v>
      </c>
      <c r="E61" s="57" t="s">
        <v>15</v>
      </c>
      <c r="F61" s="13">
        <v>55.3</v>
      </c>
      <c r="G61" s="13">
        <v>0</v>
      </c>
      <c r="H61" s="13">
        <v>55.3</v>
      </c>
      <c r="I61" s="57">
        <v>55.3</v>
      </c>
      <c r="J61" s="13"/>
      <c r="K61" s="13"/>
      <c r="L61" s="13">
        <v>17.21</v>
      </c>
      <c r="M61" s="13">
        <v>951.71</v>
      </c>
      <c r="N61" s="13">
        <v>0</v>
      </c>
      <c r="O61" s="13">
        <v>951.71</v>
      </c>
      <c r="P61" s="13">
        <v>951.71</v>
      </c>
      <c r="Q61" s="31">
        <f t="shared" si="1"/>
        <v>17.21</v>
      </c>
    </row>
    <row r="62" spans="1:17" ht="60" outlineLevel="2" x14ac:dyDescent="0.2">
      <c r="A62" s="30">
        <v>40117</v>
      </c>
      <c r="B62" s="28"/>
      <c r="C62" s="30">
        <v>921938</v>
      </c>
      <c r="D62" s="59" t="s">
        <v>91</v>
      </c>
      <c r="E62" s="57" t="s">
        <v>15</v>
      </c>
      <c r="F62" s="13">
        <v>14.45</v>
      </c>
      <c r="G62" s="13">
        <v>0</v>
      </c>
      <c r="H62" s="13">
        <v>14.45</v>
      </c>
      <c r="I62" s="57">
        <v>14.45</v>
      </c>
      <c r="J62" s="13"/>
      <c r="K62" s="13"/>
      <c r="L62" s="13">
        <v>28.35</v>
      </c>
      <c r="M62" s="13">
        <v>409.65</v>
      </c>
      <c r="N62" s="13">
        <v>0</v>
      </c>
      <c r="O62" s="13">
        <v>409.65</v>
      </c>
      <c r="P62" s="13">
        <v>409.65</v>
      </c>
      <c r="Q62" s="31">
        <f t="shared" si="1"/>
        <v>28.35</v>
      </c>
    </row>
    <row r="63" spans="1:17" ht="15" x14ac:dyDescent="0.2">
      <c r="A63" s="28"/>
      <c r="B63" s="28"/>
      <c r="C63" s="28"/>
      <c r="D63" s="60"/>
      <c r="E63" s="67"/>
      <c r="F63" s="28"/>
      <c r="G63" s="28"/>
      <c r="H63" s="28"/>
      <c r="I63" s="67"/>
      <c r="J63" s="28"/>
      <c r="K63" s="28"/>
      <c r="L63" s="28"/>
      <c r="M63" s="28"/>
      <c r="N63" s="28"/>
      <c r="O63" s="28"/>
      <c r="P63" s="28"/>
      <c r="Q63" s="31">
        <f t="shared" si="1"/>
        <v>0</v>
      </c>
    </row>
    <row r="64" spans="1:17" ht="15.75" outlineLevel="2" x14ac:dyDescent="0.2">
      <c r="A64" s="30">
        <v>50100</v>
      </c>
      <c r="B64" s="28"/>
      <c r="C64" s="30">
        <v>931031</v>
      </c>
      <c r="D64" s="37" t="s">
        <v>18</v>
      </c>
      <c r="E64" s="67"/>
      <c r="F64" s="13" t="s">
        <v>9</v>
      </c>
      <c r="G64" s="13">
        <v>0</v>
      </c>
      <c r="H64" s="13">
        <v>0</v>
      </c>
      <c r="I64" s="57"/>
      <c r="J64" s="13"/>
      <c r="K64" s="13"/>
      <c r="L64" s="13" t="s">
        <v>9</v>
      </c>
      <c r="M64" s="13" t="s">
        <v>9</v>
      </c>
      <c r="N64" s="13">
        <v>0</v>
      </c>
      <c r="O64" s="13">
        <v>0</v>
      </c>
      <c r="P64" s="13">
        <v>0</v>
      </c>
      <c r="Q64" s="31">
        <f t="shared" si="1"/>
        <v>0</v>
      </c>
    </row>
    <row r="65" spans="1:17" ht="63" outlineLevel="2" x14ac:dyDescent="0.2">
      <c r="A65" s="30">
        <v>50101</v>
      </c>
      <c r="B65" s="28"/>
      <c r="C65" s="30">
        <v>925303</v>
      </c>
      <c r="D65" s="37" t="s">
        <v>92</v>
      </c>
      <c r="E65" s="57" t="s">
        <v>16</v>
      </c>
      <c r="F65" s="13"/>
      <c r="G65" s="13">
        <v>0</v>
      </c>
      <c r="H65" s="13">
        <v>16740</v>
      </c>
      <c r="I65" s="57">
        <f>4195+6300+5260+4065</f>
        <v>19820</v>
      </c>
      <c r="J65" s="13" t="s">
        <v>605</v>
      </c>
      <c r="K65" s="13"/>
      <c r="L65" s="13">
        <v>9.73</v>
      </c>
      <c r="M65" s="13">
        <v>314279</v>
      </c>
      <c r="N65" s="13">
        <v>0</v>
      </c>
      <c r="O65" s="13">
        <v>162880.20000000001</v>
      </c>
      <c r="P65" s="13">
        <v>162880.20000000001</v>
      </c>
      <c r="Q65" s="31">
        <f t="shared" si="1"/>
        <v>9.73</v>
      </c>
    </row>
    <row r="66" spans="1:17" ht="31.5" outlineLevel="2" x14ac:dyDescent="0.25">
      <c r="A66" s="30"/>
      <c r="B66" s="28"/>
      <c r="C66" s="30"/>
      <c r="D66" s="59" t="s">
        <v>403</v>
      </c>
      <c r="E66" s="57"/>
      <c r="F66" s="13"/>
      <c r="G66" s="13"/>
      <c r="H66" s="13"/>
      <c r="I66" s="57"/>
      <c r="J66" s="14" t="s">
        <v>615</v>
      </c>
      <c r="K66" s="34" t="s">
        <v>776</v>
      </c>
      <c r="L66" s="13"/>
      <c r="M66" s="13"/>
      <c r="N66" s="13"/>
      <c r="O66" s="13"/>
      <c r="P66" s="13"/>
      <c r="Q66" s="31"/>
    </row>
    <row r="67" spans="1:17" ht="15.75" outlineLevel="2" x14ac:dyDescent="0.25">
      <c r="A67" s="30"/>
      <c r="B67" s="28"/>
      <c r="C67" s="30"/>
      <c r="D67" s="59" t="s">
        <v>404</v>
      </c>
      <c r="E67" s="57"/>
      <c r="F67" s="13"/>
      <c r="G67" s="13"/>
      <c r="H67" s="13"/>
      <c r="I67" s="57"/>
      <c r="J67" s="13" t="s">
        <v>45</v>
      </c>
      <c r="K67" s="35"/>
      <c r="L67" s="13"/>
      <c r="M67" s="13"/>
      <c r="N67" s="13"/>
      <c r="O67" s="13"/>
      <c r="P67" s="13"/>
      <c r="Q67" s="31"/>
    </row>
    <row r="68" spans="1:17" ht="15.75" outlineLevel="2" x14ac:dyDescent="0.25">
      <c r="A68" s="30"/>
      <c r="B68" s="28"/>
      <c r="C68" s="30"/>
      <c r="D68" s="59" t="s">
        <v>405</v>
      </c>
      <c r="E68" s="57"/>
      <c r="F68" s="13"/>
      <c r="G68" s="13"/>
      <c r="H68" s="13"/>
      <c r="I68" s="57"/>
      <c r="J68" s="13" t="s">
        <v>45</v>
      </c>
      <c r="K68" s="35"/>
      <c r="L68" s="13"/>
      <c r="M68" s="13"/>
      <c r="N68" s="13"/>
      <c r="O68" s="13"/>
      <c r="P68" s="13"/>
      <c r="Q68" s="31"/>
    </row>
    <row r="69" spans="1:17" ht="31.5" outlineLevel="2" x14ac:dyDescent="0.25">
      <c r="A69" s="30"/>
      <c r="B69" s="28"/>
      <c r="C69" s="30"/>
      <c r="D69" s="59" t="s">
        <v>406</v>
      </c>
      <c r="E69" s="57"/>
      <c r="F69" s="13"/>
      <c r="G69" s="13"/>
      <c r="H69" s="13"/>
      <c r="I69" s="59"/>
      <c r="J69" s="14" t="s">
        <v>614</v>
      </c>
      <c r="K69" s="34" t="s">
        <v>775</v>
      </c>
      <c r="L69" s="13"/>
      <c r="M69" s="13"/>
      <c r="N69" s="13"/>
      <c r="O69" s="13"/>
      <c r="P69" s="13"/>
      <c r="Q69" s="31"/>
    </row>
    <row r="70" spans="1:17" ht="31.5" outlineLevel="2" x14ac:dyDescent="0.25">
      <c r="A70" s="30"/>
      <c r="B70" s="28"/>
      <c r="C70" s="30"/>
      <c r="D70" s="59" t="s">
        <v>407</v>
      </c>
      <c r="E70" s="57"/>
      <c r="F70" s="13"/>
      <c r="G70" s="13"/>
      <c r="H70" s="13"/>
      <c r="I70" s="57"/>
      <c r="J70" s="14" t="s">
        <v>613</v>
      </c>
      <c r="K70" s="34" t="s">
        <v>774</v>
      </c>
      <c r="L70" s="13"/>
      <c r="M70" s="13"/>
      <c r="N70" s="13"/>
      <c r="O70" s="13"/>
      <c r="P70" s="13"/>
      <c r="Q70" s="31"/>
    </row>
    <row r="71" spans="1:17" ht="15.75" outlineLevel="2" x14ac:dyDescent="0.25">
      <c r="A71" s="30"/>
      <c r="B71" s="28"/>
      <c r="C71" s="30"/>
      <c r="D71" s="59" t="s">
        <v>427</v>
      </c>
      <c r="E71" s="57"/>
      <c r="F71" s="13"/>
      <c r="G71" s="13"/>
      <c r="H71" s="13"/>
      <c r="I71" s="57"/>
      <c r="J71" s="13" t="s">
        <v>45</v>
      </c>
      <c r="K71" s="35"/>
      <c r="L71" s="13"/>
      <c r="M71" s="13"/>
      <c r="N71" s="13"/>
      <c r="O71" s="13"/>
      <c r="P71" s="13"/>
      <c r="Q71" s="31"/>
    </row>
    <row r="72" spans="1:17" ht="30.75" outlineLevel="2" x14ac:dyDescent="0.25">
      <c r="A72" s="30"/>
      <c r="B72" s="28"/>
      <c r="C72" s="30"/>
      <c r="D72" s="59" t="s">
        <v>408</v>
      </c>
      <c r="E72" s="57"/>
      <c r="F72" s="13"/>
      <c r="G72" s="13"/>
      <c r="H72" s="13"/>
      <c r="I72" s="57"/>
      <c r="J72" s="14" t="s">
        <v>612</v>
      </c>
      <c r="K72" s="35"/>
      <c r="L72" s="13"/>
      <c r="M72" s="13"/>
      <c r="N72" s="13"/>
      <c r="O72" s="13"/>
      <c r="P72" s="13"/>
      <c r="Q72" s="31"/>
    </row>
    <row r="73" spans="1:17" ht="15" outlineLevel="2" x14ac:dyDescent="0.2">
      <c r="A73" s="30"/>
      <c r="B73" s="28"/>
      <c r="C73" s="30"/>
      <c r="D73" s="59"/>
      <c r="E73" s="57"/>
      <c r="F73" s="13"/>
      <c r="G73" s="13"/>
      <c r="H73" s="13"/>
      <c r="I73" s="57"/>
      <c r="J73" s="13"/>
      <c r="K73" s="13"/>
      <c r="L73" s="13"/>
      <c r="M73" s="13"/>
      <c r="N73" s="13"/>
      <c r="O73" s="13"/>
      <c r="P73" s="13"/>
      <c r="Q73" s="31"/>
    </row>
    <row r="74" spans="1:17" ht="94.5" outlineLevel="2" x14ac:dyDescent="0.2">
      <c r="A74" s="30">
        <v>50102</v>
      </c>
      <c r="B74" s="28"/>
      <c r="C74" s="30">
        <v>925015</v>
      </c>
      <c r="D74" s="37" t="s">
        <v>93</v>
      </c>
      <c r="E74" s="57" t="s">
        <v>10</v>
      </c>
      <c r="F74" s="13"/>
      <c r="G74" s="13"/>
      <c r="H74" s="13"/>
      <c r="I74" s="57">
        <f>I75+I76+I79+I81+I82+I83</f>
        <v>1178.1156000000001</v>
      </c>
      <c r="J74" s="13" t="s">
        <v>593</v>
      </c>
      <c r="K74" s="73" t="s">
        <v>778</v>
      </c>
      <c r="L74" s="13">
        <v>31.04</v>
      </c>
      <c r="M74" s="13">
        <v>81213.67</v>
      </c>
      <c r="N74" s="13">
        <v>15711.51</v>
      </c>
      <c r="O74" s="13">
        <v>37639.1</v>
      </c>
      <c r="P74" s="13">
        <v>53350.61</v>
      </c>
      <c r="Q74" s="31">
        <f>PRODUCT(K74,L74)</f>
        <v>31.04</v>
      </c>
    </row>
    <row r="75" spans="1:17" ht="30" outlineLevel="2" x14ac:dyDescent="0.2">
      <c r="A75" s="30"/>
      <c r="B75" s="28"/>
      <c r="C75" s="30"/>
      <c r="D75" s="59" t="s">
        <v>591</v>
      </c>
      <c r="E75" s="57"/>
      <c r="F75" s="13"/>
      <c r="G75" s="13"/>
      <c r="H75" s="13"/>
      <c r="I75" s="57">
        <f>7.2*2.75</f>
        <v>19.8</v>
      </c>
      <c r="J75" s="14" t="s">
        <v>592</v>
      </c>
      <c r="K75" s="13"/>
      <c r="L75" s="13"/>
      <c r="M75" s="13"/>
      <c r="N75" s="13"/>
      <c r="O75" s="13"/>
      <c r="P75" s="13"/>
      <c r="Q75" s="31"/>
    </row>
    <row r="76" spans="1:17" ht="30" outlineLevel="2" x14ac:dyDescent="0.2">
      <c r="A76" s="30"/>
      <c r="B76" s="28"/>
      <c r="C76" s="30"/>
      <c r="D76" s="59" t="s">
        <v>403</v>
      </c>
      <c r="E76" s="57"/>
      <c r="F76" s="13"/>
      <c r="G76" s="13"/>
      <c r="H76" s="13"/>
      <c r="I76" s="57">
        <f>12*14.4</f>
        <v>172.8</v>
      </c>
      <c r="J76" s="14" t="s">
        <v>576</v>
      </c>
      <c r="K76" s="13"/>
      <c r="L76" s="13"/>
      <c r="M76" s="13"/>
      <c r="N76" s="13"/>
      <c r="O76" s="13"/>
      <c r="P76" s="13"/>
      <c r="Q76" s="31"/>
    </row>
    <row r="77" spans="1:17" ht="15" outlineLevel="2" x14ac:dyDescent="0.2">
      <c r="A77" s="30"/>
      <c r="B77" s="28"/>
      <c r="C77" s="30"/>
      <c r="D77" s="59" t="s">
        <v>404</v>
      </c>
      <c r="E77" s="57"/>
      <c r="F77" s="13"/>
      <c r="G77" s="13"/>
      <c r="H77" s="13"/>
      <c r="I77" s="57"/>
      <c r="J77" s="13" t="s">
        <v>45</v>
      </c>
      <c r="K77" s="13"/>
      <c r="L77" s="13"/>
      <c r="M77" s="13"/>
      <c r="N77" s="13"/>
      <c r="O77" s="13"/>
      <c r="P77" s="13"/>
      <c r="Q77" s="31"/>
    </row>
    <row r="78" spans="1:17" ht="15" outlineLevel="2" x14ac:dyDescent="0.2">
      <c r="A78" s="30"/>
      <c r="B78" s="28"/>
      <c r="C78" s="30"/>
      <c r="D78" s="59" t="s">
        <v>405</v>
      </c>
      <c r="E78" s="57"/>
      <c r="F78" s="13"/>
      <c r="G78" s="13"/>
      <c r="H78" s="13"/>
      <c r="I78" s="57"/>
      <c r="J78" s="13" t="s">
        <v>45</v>
      </c>
      <c r="K78" s="13"/>
      <c r="L78" s="13"/>
      <c r="M78" s="13"/>
      <c r="N78" s="13"/>
      <c r="O78" s="13"/>
      <c r="P78" s="13"/>
      <c r="Q78" s="31"/>
    </row>
    <row r="79" spans="1:17" ht="30" outlineLevel="2" x14ac:dyDescent="0.2">
      <c r="A79" s="30"/>
      <c r="B79" s="28"/>
      <c r="C79" s="30"/>
      <c r="D79" s="59" t="s">
        <v>406</v>
      </c>
      <c r="E79" s="57"/>
      <c r="F79" s="13"/>
      <c r="G79" s="13"/>
      <c r="H79" s="13"/>
      <c r="I79" s="57">
        <f>12*25.4</f>
        <v>304.79999999999995</v>
      </c>
      <c r="J79" s="14" t="s">
        <v>574</v>
      </c>
      <c r="K79" s="13"/>
      <c r="L79" s="13"/>
      <c r="M79" s="13"/>
      <c r="N79" s="13"/>
      <c r="O79" s="13"/>
      <c r="P79" s="13"/>
      <c r="Q79" s="31"/>
    </row>
    <row r="80" spans="1:17" ht="15" outlineLevel="2" x14ac:dyDescent="0.2">
      <c r="A80" s="30"/>
      <c r="B80" s="28"/>
      <c r="C80" s="30"/>
      <c r="D80" s="59" t="s">
        <v>465</v>
      </c>
      <c r="E80" s="57"/>
      <c r="F80" s="13"/>
      <c r="G80" s="13"/>
      <c r="H80" s="13"/>
      <c r="I80" s="57"/>
      <c r="J80" s="13" t="s">
        <v>45</v>
      </c>
      <c r="K80" s="13"/>
      <c r="L80" s="13"/>
      <c r="M80" s="13"/>
      <c r="N80" s="13"/>
      <c r="O80" s="13"/>
      <c r="P80" s="13"/>
      <c r="Q80" s="31"/>
    </row>
    <row r="81" spans="1:17" ht="30" outlineLevel="2" x14ac:dyDescent="0.2">
      <c r="A81" s="30"/>
      <c r="B81" s="28"/>
      <c r="C81" s="30"/>
      <c r="D81" s="59" t="s">
        <v>506</v>
      </c>
      <c r="E81" s="57"/>
      <c r="F81" s="13"/>
      <c r="G81" s="13"/>
      <c r="H81" s="13"/>
      <c r="I81" s="57">
        <f>10.26*36.26</f>
        <v>372.02759999999995</v>
      </c>
      <c r="J81" s="14" t="s">
        <v>575</v>
      </c>
      <c r="K81" s="13"/>
      <c r="L81" s="13"/>
      <c r="M81" s="13"/>
      <c r="N81" s="13"/>
      <c r="O81" s="13"/>
      <c r="P81" s="13"/>
      <c r="Q81" s="31"/>
    </row>
    <row r="82" spans="1:17" ht="30" outlineLevel="2" x14ac:dyDescent="0.2">
      <c r="A82" s="30"/>
      <c r="B82" s="28"/>
      <c r="C82" s="30"/>
      <c r="D82" s="59" t="s">
        <v>408</v>
      </c>
      <c r="E82" s="57"/>
      <c r="F82" s="13"/>
      <c r="G82" s="13"/>
      <c r="H82" s="13"/>
      <c r="I82" s="57">
        <f>10.26*28.8</f>
        <v>295.488</v>
      </c>
      <c r="J82" s="14" t="s">
        <v>596</v>
      </c>
      <c r="K82" s="13"/>
      <c r="L82" s="13"/>
      <c r="M82" s="13"/>
      <c r="N82" s="13"/>
      <c r="O82" s="13"/>
      <c r="P82" s="13"/>
      <c r="Q82" s="31"/>
    </row>
    <row r="83" spans="1:17" ht="30" outlineLevel="2" x14ac:dyDescent="0.2">
      <c r="A83" s="30"/>
      <c r="B83" s="28"/>
      <c r="C83" s="30"/>
      <c r="D83" s="59" t="s">
        <v>594</v>
      </c>
      <c r="E83" s="57"/>
      <c r="F83" s="13"/>
      <c r="G83" s="13"/>
      <c r="H83" s="13"/>
      <c r="I83" s="57">
        <f>4.8*2.75</f>
        <v>13.2</v>
      </c>
      <c r="J83" s="14" t="s">
        <v>595</v>
      </c>
      <c r="K83" s="13"/>
      <c r="L83" s="13"/>
      <c r="M83" s="13"/>
      <c r="N83" s="13"/>
      <c r="O83" s="13"/>
      <c r="P83" s="13"/>
      <c r="Q83" s="31"/>
    </row>
    <row r="84" spans="1:17" ht="15" outlineLevel="2" x14ac:dyDescent="0.2">
      <c r="A84" s="30"/>
      <c r="B84" s="28"/>
      <c r="C84" s="30"/>
      <c r="D84" s="59"/>
      <c r="E84" s="57"/>
      <c r="F84" s="13"/>
      <c r="G84" s="13"/>
      <c r="H84" s="13"/>
      <c r="I84" s="57"/>
      <c r="J84" s="14"/>
      <c r="K84" s="13"/>
      <c r="L84" s="13"/>
      <c r="M84" s="13"/>
      <c r="N84" s="13"/>
      <c r="O84" s="13"/>
      <c r="P84" s="13"/>
      <c r="Q84" s="31"/>
    </row>
    <row r="85" spans="1:17" ht="120.75" outlineLevel="2" x14ac:dyDescent="0.25">
      <c r="A85" s="30"/>
      <c r="B85" s="28"/>
      <c r="C85" s="30"/>
      <c r="D85" s="37" t="s">
        <v>752</v>
      </c>
      <c r="E85" s="57"/>
      <c r="F85" s="13"/>
      <c r="G85" s="13"/>
      <c r="H85" s="13"/>
      <c r="I85" s="68">
        <v>653</v>
      </c>
      <c r="J85" s="14" t="s">
        <v>757</v>
      </c>
      <c r="K85" s="36" t="s">
        <v>514</v>
      </c>
      <c r="L85" s="13"/>
      <c r="M85" s="13"/>
      <c r="N85" s="13"/>
      <c r="O85" s="13"/>
      <c r="P85" s="13"/>
      <c r="Q85" s="31"/>
    </row>
    <row r="86" spans="1:17" ht="78.75" outlineLevel="2" x14ac:dyDescent="0.2">
      <c r="A86" s="30"/>
      <c r="B86" s="28"/>
      <c r="C86" s="30"/>
      <c r="D86" s="37" t="s">
        <v>584</v>
      </c>
      <c r="E86" s="57"/>
      <c r="F86" s="13"/>
      <c r="G86" s="13"/>
      <c r="H86" s="13"/>
      <c r="I86" s="57">
        <f>TRUNC((23.04*0.36*2)+(14.64*0.36*2),2)</f>
        <v>27.12</v>
      </c>
      <c r="J86" s="14" t="s">
        <v>585</v>
      </c>
      <c r="K86" s="13"/>
      <c r="L86" s="13"/>
      <c r="M86" s="13"/>
      <c r="N86" s="13"/>
      <c r="O86" s="13"/>
      <c r="P86" s="13"/>
      <c r="Q86" s="31"/>
    </row>
    <row r="87" spans="1:17" ht="15" outlineLevel="2" x14ac:dyDescent="0.2">
      <c r="A87" s="30"/>
      <c r="B87" s="28"/>
      <c r="C87" s="30"/>
      <c r="D87" s="59"/>
      <c r="E87" s="57"/>
      <c r="F87" s="13"/>
      <c r="G87" s="13"/>
      <c r="H87" s="13"/>
      <c r="I87" s="57"/>
      <c r="J87" s="14"/>
      <c r="K87" s="13"/>
      <c r="L87" s="13"/>
      <c r="M87" s="13"/>
      <c r="N87" s="13"/>
      <c r="O87" s="13"/>
      <c r="P87" s="13"/>
      <c r="Q87" s="31"/>
    </row>
    <row r="88" spans="1:17" ht="31.5" outlineLevel="2" x14ac:dyDescent="0.2">
      <c r="A88" s="30"/>
      <c r="B88" s="28"/>
      <c r="C88" s="30"/>
      <c r="D88" s="37" t="s">
        <v>607</v>
      </c>
      <c r="E88" s="57" t="s">
        <v>633</v>
      </c>
      <c r="F88" s="13"/>
      <c r="G88" s="13"/>
      <c r="H88" s="13"/>
      <c r="I88" s="57">
        <f>TRUNC(SUM(I89:I95),2)</f>
        <v>106.1</v>
      </c>
      <c r="J88" s="14"/>
      <c r="K88" s="13"/>
      <c r="L88" s="13"/>
      <c r="M88" s="13"/>
      <c r="N88" s="13"/>
      <c r="O88" s="13"/>
      <c r="P88" s="13"/>
      <c r="Q88" s="31"/>
    </row>
    <row r="89" spans="1:17" ht="31.5" outlineLevel="2" x14ac:dyDescent="0.2">
      <c r="A89" s="30"/>
      <c r="B89" s="28"/>
      <c r="C89" s="30"/>
      <c r="D89" s="59" t="s">
        <v>403</v>
      </c>
      <c r="E89" s="57"/>
      <c r="F89" s="13"/>
      <c r="G89" s="13"/>
      <c r="H89" s="13"/>
      <c r="I89" s="57">
        <f>((5.01*2+2.4)*0.6)*2</f>
        <v>14.904</v>
      </c>
      <c r="J89" s="14" t="s">
        <v>611</v>
      </c>
      <c r="K89" s="37" t="s">
        <v>610</v>
      </c>
      <c r="L89" s="13"/>
      <c r="M89" s="13"/>
      <c r="N89" s="13"/>
      <c r="O89" s="13"/>
      <c r="P89" s="13"/>
      <c r="Q89" s="31"/>
    </row>
    <row r="90" spans="1:17" ht="45" outlineLevel="2" x14ac:dyDescent="0.2">
      <c r="A90" s="30"/>
      <c r="B90" s="28"/>
      <c r="C90" s="30"/>
      <c r="D90" s="59" t="s">
        <v>404</v>
      </c>
      <c r="E90" s="57"/>
      <c r="F90" s="13"/>
      <c r="G90" s="13"/>
      <c r="H90" s="13"/>
      <c r="I90" s="57">
        <f>(10.9*0.35*2)*2</f>
        <v>15.26</v>
      </c>
      <c r="J90" s="14" t="s">
        <v>606</v>
      </c>
      <c r="K90" s="13"/>
      <c r="L90" s="13"/>
      <c r="M90" s="13"/>
      <c r="N90" s="13"/>
      <c r="O90" s="13"/>
      <c r="P90" s="13"/>
      <c r="Q90" s="31"/>
    </row>
    <row r="91" spans="1:17" ht="45" outlineLevel="2" x14ac:dyDescent="0.2">
      <c r="A91" s="30"/>
      <c r="B91" s="28"/>
      <c r="C91" s="30"/>
      <c r="D91" s="59" t="s">
        <v>405</v>
      </c>
      <c r="E91" s="57"/>
      <c r="F91" s="13"/>
      <c r="G91" s="13"/>
      <c r="H91" s="13"/>
      <c r="I91" s="57">
        <f>(10.9*0.35*2)*2</f>
        <v>15.26</v>
      </c>
      <c r="J91" s="14" t="s">
        <v>608</v>
      </c>
      <c r="K91" s="37"/>
      <c r="L91" s="13"/>
      <c r="M91" s="13"/>
      <c r="N91" s="13"/>
      <c r="O91" s="13"/>
      <c r="P91" s="13"/>
      <c r="Q91" s="31"/>
    </row>
    <row r="92" spans="1:17" ht="31.5" outlineLevel="2" x14ac:dyDescent="0.2">
      <c r="A92" s="30"/>
      <c r="B92" s="28"/>
      <c r="C92" s="30"/>
      <c r="D92" s="59" t="s">
        <v>406</v>
      </c>
      <c r="E92" s="57"/>
      <c r="F92" s="13"/>
      <c r="G92" s="13"/>
      <c r="H92" s="13"/>
      <c r="I92" s="57">
        <f>((5.01*2+2.4)*0.6)*2</f>
        <v>14.904</v>
      </c>
      <c r="J92" s="14" t="s">
        <v>617</v>
      </c>
      <c r="K92" s="37" t="s">
        <v>610</v>
      </c>
      <c r="L92" s="13"/>
      <c r="M92" s="13"/>
      <c r="N92" s="13"/>
      <c r="O92" s="13"/>
      <c r="P92" s="13"/>
      <c r="Q92" s="31"/>
    </row>
    <row r="93" spans="1:17" ht="45" outlineLevel="2" x14ac:dyDescent="0.2">
      <c r="A93" s="30"/>
      <c r="B93" s="28"/>
      <c r="C93" s="30"/>
      <c r="D93" s="59" t="s">
        <v>702</v>
      </c>
      <c r="E93" s="57"/>
      <c r="F93" s="13"/>
      <c r="G93" s="13"/>
      <c r="H93" s="13"/>
      <c r="I93" s="57">
        <f>(10.9*0.35*2)*2</f>
        <v>15.26</v>
      </c>
      <c r="J93" s="14" t="s">
        <v>609</v>
      </c>
      <c r="K93" s="13"/>
      <c r="L93" s="13"/>
      <c r="M93" s="13"/>
      <c r="N93" s="13"/>
      <c r="O93" s="13"/>
      <c r="P93" s="13"/>
      <c r="Q93" s="31"/>
    </row>
    <row r="94" spans="1:17" ht="45" outlineLevel="2" x14ac:dyDescent="0.2">
      <c r="A94" s="30"/>
      <c r="B94" s="28"/>
      <c r="C94" s="30"/>
      <c r="D94" s="59" t="s">
        <v>703</v>
      </c>
      <c r="E94" s="57"/>
      <c r="F94" s="13"/>
      <c r="G94" s="13"/>
      <c r="H94" s="13"/>
      <c r="I94" s="57">
        <f>(10.9*0.35*2)*2</f>
        <v>15.26</v>
      </c>
      <c r="J94" s="14" t="s">
        <v>609</v>
      </c>
      <c r="K94" s="13"/>
      <c r="L94" s="13"/>
      <c r="M94" s="13"/>
      <c r="N94" s="13"/>
      <c r="O94" s="13"/>
      <c r="P94" s="13"/>
      <c r="Q94" s="31"/>
    </row>
    <row r="95" spans="1:17" ht="45" outlineLevel="2" x14ac:dyDescent="0.2">
      <c r="A95" s="30"/>
      <c r="B95" s="28"/>
      <c r="C95" s="30"/>
      <c r="D95" s="59" t="s">
        <v>616</v>
      </c>
      <c r="E95" s="57"/>
      <c r="F95" s="13"/>
      <c r="G95" s="13"/>
      <c r="H95" s="13"/>
      <c r="I95" s="57">
        <f>(10.9*0.35*2)*2</f>
        <v>15.26</v>
      </c>
      <c r="J95" s="14" t="s">
        <v>618</v>
      </c>
      <c r="K95" s="13"/>
      <c r="L95" s="13"/>
      <c r="M95" s="13"/>
      <c r="N95" s="13"/>
      <c r="O95" s="13"/>
      <c r="P95" s="13"/>
      <c r="Q95" s="31"/>
    </row>
    <row r="96" spans="1:17" ht="15" outlineLevel="2" x14ac:dyDescent="0.2">
      <c r="A96" s="30"/>
      <c r="B96" s="28"/>
      <c r="C96" s="30"/>
      <c r="D96" s="59"/>
      <c r="E96" s="57"/>
      <c r="F96" s="13"/>
      <c r="G96" s="13"/>
      <c r="H96" s="13"/>
      <c r="I96" s="57"/>
      <c r="J96" s="14"/>
      <c r="K96" s="13"/>
      <c r="L96" s="13"/>
      <c r="M96" s="13"/>
      <c r="N96" s="13"/>
      <c r="O96" s="13"/>
      <c r="P96" s="13"/>
      <c r="Q96" s="31"/>
    </row>
    <row r="97" spans="1:19" ht="60" outlineLevel="2" x14ac:dyDescent="0.2">
      <c r="A97" s="30">
        <v>50103</v>
      </c>
      <c r="B97" s="28"/>
      <c r="C97" s="30">
        <v>923391</v>
      </c>
      <c r="D97" s="59" t="s">
        <v>94</v>
      </c>
      <c r="E97" s="57" t="s">
        <v>10</v>
      </c>
      <c r="F97" s="13"/>
      <c r="G97" s="13">
        <v>0</v>
      </c>
      <c r="H97" s="13">
        <v>0</v>
      </c>
      <c r="I97" s="57">
        <f>SUM(I98:I106)</f>
        <v>329.28000000000003</v>
      </c>
      <c r="J97" s="13" t="s">
        <v>619</v>
      </c>
      <c r="K97" s="13"/>
      <c r="L97" s="13">
        <v>40.590000000000003</v>
      </c>
      <c r="M97" s="13">
        <v>15407.15</v>
      </c>
      <c r="N97" s="13">
        <v>0</v>
      </c>
      <c r="O97" s="13">
        <v>0</v>
      </c>
      <c r="P97" s="13">
        <v>0</v>
      </c>
      <c r="Q97" s="31">
        <f>PRODUCT(K97,L97)</f>
        <v>40.590000000000003</v>
      </c>
      <c r="S97" s="15">
        <f>S85*(5.53*10.05)</f>
        <v>0</v>
      </c>
    </row>
    <row r="98" spans="1:19" ht="15" outlineLevel="2" x14ac:dyDescent="0.2">
      <c r="A98" s="30"/>
      <c r="B98" s="28"/>
      <c r="C98" s="30"/>
      <c r="D98" s="59"/>
      <c r="E98" s="57"/>
      <c r="F98" s="13"/>
      <c r="G98" s="13"/>
      <c r="H98" s="13"/>
      <c r="I98" s="57"/>
      <c r="J98" s="13"/>
      <c r="K98" s="13"/>
      <c r="L98" s="13"/>
      <c r="M98" s="13"/>
      <c r="N98" s="13"/>
      <c r="O98" s="13"/>
      <c r="P98" s="13"/>
      <c r="Q98" s="31"/>
    </row>
    <row r="99" spans="1:19" ht="30" outlineLevel="2" x14ac:dyDescent="0.2">
      <c r="A99" s="30"/>
      <c r="B99" s="28"/>
      <c r="C99" s="30"/>
      <c r="D99" s="59" t="s">
        <v>410</v>
      </c>
      <c r="E99" s="57"/>
      <c r="F99" s="13"/>
      <c r="G99" s="13"/>
      <c r="H99" s="13"/>
      <c r="I99" s="57">
        <f>(3.6*3.6)</f>
        <v>12.96</v>
      </c>
      <c r="J99" s="14" t="s">
        <v>641</v>
      </c>
      <c r="K99" s="13"/>
      <c r="L99" s="13"/>
      <c r="M99" s="13"/>
      <c r="N99" s="13"/>
      <c r="O99" s="13"/>
      <c r="P99" s="13"/>
      <c r="Q99" s="31"/>
    </row>
    <row r="100" spans="1:19" ht="30" outlineLevel="2" x14ac:dyDescent="0.2">
      <c r="A100" s="30"/>
      <c r="B100" s="28"/>
      <c r="C100" s="30"/>
      <c r="D100" s="59" t="s">
        <v>411</v>
      </c>
      <c r="E100" s="57"/>
      <c r="F100" s="13"/>
      <c r="G100" s="13"/>
      <c r="H100" s="13"/>
      <c r="I100" s="57">
        <f>(3.6*3.6)</f>
        <v>12.96</v>
      </c>
      <c r="J100" s="14" t="s">
        <v>640</v>
      </c>
      <c r="K100" s="13"/>
      <c r="L100" s="13"/>
      <c r="M100" s="13"/>
      <c r="N100" s="13"/>
      <c r="O100" s="13"/>
      <c r="P100" s="13"/>
      <c r="Q100" s="31"/>
    </row>
    <row r="101" spans="1:19" ht="30" outlineLevel="2" x14ac:dyDescent="0.2">
      <c r="A101" s="30"/>
      <c r="B101" s="28"/>
      <c r="C101" s="30"/>
      <c r="D101" s="59" t="s">
        <v>586</v>
      </c>
      <c r="E101" s="57"/>
      <c r="F101" s="13"/>
      <c r="G101" s="13"/>
      <c r="H101" s="13"/>
      <c r="I101" s="57">
        <f>(3.6*3.6)*2</f>
        <v>25.92</v>
      </c>
      <c r="J101" s="14" t="s">
        <v>639</v>
      </c>
      <c r="K101" s="13"/>
      <c r="L101" s="13"/>
      <c r="M101" s="13"/>
      <c r="N101" s="13"/>
      <c r="O101" s="13"/>
      <c r="P101" s="13"/>
      <c r="Q101" s="31"/>
    </row>
    <row r="102" spans="1:19" ht="30" outlineLevel="2" x14ac:dyDescent="0.2">
      <c r="A102" s="30"/>
      <c r="B102" s="28"/>
      <c r="C102" s="30"/>
      <c r="D102" s="59" t="s">
        <v>587</v>
      </c>
      <c r="E102" s="57"/>
      <c r="F102" s="13"/>
      <c r="G102" s="13"/>
      <c r="H102" s="13"/>
      <c r="I102" s="57">
        <f>(3.6*3.6)</f>
        <v>12.96</v>
      </c>
      <c r="J102" s="14" t="s">
        <v>640</v>
      </c>
      <c r="K102" s="13"/>
      <c r="L102" s="13"/>
      <c r="M102" s="13"/>
      <c r="N102" s="13"/>
      <c r="O102" s="13"/>
      <c r="P102" s="13"/>
      <c r="Q102" s="31"/>
    </row>
    <row r="103" spans="1:19" ht="30" outlineLevel="2" x14ac:dyDescent="0.2">
      <c r="A103" s="30"/>
      <c r="B103" s="28"/>
      <c r="C103" s="30"/>
      <c r="D103" s="59" t="s">
        <v>590</v>
      </c>
      <c r="E103" s="57"/>
      <c r="F103" s="13"/>
      <c r="G103" s="13"/>
      <c r="H103" s="13"/>
      <c r="I103" s="57">
        <f>3.6*3.6*3</f>
        <v>38.880000000000003</v>
      </c>
      <c r="J103" s="14" t="s">
        <v>642</v>
      </c>
      <c r="K103" s="13"/>
      <c r="L103" s="13"/>
      <c r="M103" s="13"/>
      <c r="N103" s="13"/>
      <c r="O103" s="13"/>
      <c r="P103" s="13"/>
      <c r="Q103" s="31"/>
    </row>
    <row r="104" spans="1:19" ht="30" outlineLevel="2" x14ac:dyDescent="0.2">
      <c r="A104" s="30"/>
      <c r="B104" s="28"/>
      <c r="C104" s="30"/>
      <c r="D104" s="59" t="s">
        <v>588</v>
      </c>
      <c r="E104" s="57"/>
      <c r="F104" s="13"/>
      <c r="G104" s="13"/>
      <c r="H104" s="13"/>
      <c r="I104" s="57">
        <f>(3.6*3.6)</f>
        <v>12.96</v>
      </c>
      <c r="J104" s="14" t="s">
        <v>640</v>
      </c>
      <c r="K104" s="13"/>
      <c r="L104" s="13"/>
      <c r="M104" s="13"/>
      <c r="N104" s="13"/>
      <c r="O104" s="13"/>
      <c r="P104" s="13"/>
      <c r="Q104" s="31"/>
    </row>
    <row r="105" spans="1:19" ht="30" outlineLevel="2" x14ac:dyDescent="0.2">
      <c r="A105" s="30"/>
      <c r="B105" s="28"/>
      <c r="C105" s="30"/>
      <c r="D105" s="59" t="s">
        <v>589</v>
      </c>
      <c r="E105" s="57"/>
      <c r="F105" s="13"/>
      <c r="G105" s="13"/>
      <c r="H105" s="13"/>
      <c r="I105" s="57">
        <f>55.4*3.6</f>
        <v>199.44</v>
      </c>
      <c r="J105" s="14" t="s">
        <v>643</v>
      </c>
      <c r="K105" s="13"/>
      <c r="L105" s="13"/>
      <c r="M105" s="13"/>
      <c r="N105" s="13"/>
      <c r="O105" s="13"/>
      <c r="P105" s="13"/>
      <c r="Q105" s="31"/>
    </row>
    <row r="106" spans="1:19" ht="30" outlineLevel="2" x14ac:dyDescent="0.2">
      <c r="A106" s="30"/>
      <c r="B106" s="28"/>
      <c r="C106" s="30"/>
      <c r="D106" s="59" t="s">
        <v>700</v>
      </c>
      <c r="E106" s="57"/>
      <c r="F106" s="13"/>
      <c r="G106" s="13"/>
      <c r="H106" s="13"/>
      <c r="I106" s="57">
        <f>4.8*2.75</f>
        <v>13.2</v>
      </c>
      <c r="J106" s="14" t="s">
        <v>701</v>
      </c>
      <c r="K106" s="13"/>
      <c r="L106" s="13"/>
      <c r="M106" s="13"/>
      <c r="N106" s="13"/>
      <c r="O106" s="13"/>
      <c r="P106" s="13"/>
      <c r="Q106" s="31"/>
    </row>
    <row r="107" spans="1:19" ht="47.25" outlineLevel="2" x14ac:dyDescent="0.2">
      <c r="A107" s="30"/>
      <c r="B107" s="28"/>
      <c r="C107" s="30"/>
      <c r="D107" s="37" t="s">
        <v>644</v>
      </c>
      <c r="E107" s="57" t="s">
        <v>15</v>
      </c>
      <c r="F107" s="13"/>
      <c r="G107" s="13"/>
      <c r="H107" s="13"/>
      <c r="I107" s="57">
        <f>42*2</f>
        <v>84</v>
      </c>
      <c r="J107" s="14" t="s">
        <v>718</v>
      </c>
      <c r="K107" s="38"/>
      <c r="L107" s="13"/>
      <c r="M107" s="13"/>
      <c r="N107" s="13"/>
      <c r="O107" s="13"/>
      <c r="P107" s="13"/>
      <c r="Q107" s="31"/>
    </row>
    <row r="108" spans="1:19" ht="15" outlineLevel="2" x14ac:dyDescent="0.2">
      <c r="A108" s="30"/>
      <c r="B108" s="28"/>
      <c r="C108" s="30"/>
      <c r="D108" s="59"/>
      <c r="E108" s="57"/>
      <c r="F108" s="13"/>
      <c r="G108" s="13"/>
      <c r="H108" s="13"/>
      <c r="I108" s="57"/>
      <c r="J108" s="13"/>
      <c r="K108" s="13"/>
      <c r="L108" s="13"/>
      <c r="M108" s="13"/>
      <c r="N108" s="13"/>
      <c r="O108" s="13"/>
      <c r="P108" s="13"/>
      <c r="Q108" s="31"/>
    </row>
    <row r="109" spans="1:19" ht="110.25" outlineLevel="2" x14ac:dyDescent="0.2">
      <c r="A109" s="30"/>
      <c r="B109" s="28"/>
      <c r="C109" s="30"/>
      <c r="D109" s="37" t="s">
        <v>452</v>
      </c>
      <c r="E109" s="57" t="s">
        <v>633</v>
      </c>
      <c r="F109" s="13"/>
      <c r="G109" s="13"/>
      <c r="H109" s="13"/>
      <c r="I109" s="57">
        <f>9.79*5.26</f>
        <v>51.495399999999997</v>
      </c>
      <c r="J109" s="14" t="s">
        <v>747</v>
      </c>
      <c r="K109" s="13"/>
      <c r="L109" s="13"/>
      <c r="M109" s="13"/>
      <c r="N109" s="13"/>
      <c r="O109" s="13"/>
      <c r="P109" s="13"/>
      <c r="Q109" s="31"/>
    </row>
    <row r="110" spans="1:19" ht="15" outlineLevel="2" x14ac:dyDescent="0.2">
      <c r="A110" s="30"/>
      <c r="B110" s="28"/>
      <c r="C110" s="30"/>
      <c r="D110" s="59"/>
      <c r="E110" s="69"/>
      <c r="F110" s="13"/>
      <c r="G110" s="13"/>
      <c r="H110" s="13"/>
      <c r="I110" s="69"/>
      <c r="J110" s="39"/>
      <c r="K110" s="13"/>
      <c r="L110" s="13"/>
      <c r="M110" s="13"/>
      <c r="N110" s="13"/>
      <c r="O110" s="13"/>
      <c r="P110" s="13"/>
      <c r="Q110" s="31"/>
    </row>
    <row r="111" spans="1:19" ht="15" outlineLevel="2" x14ac:dyDescent="0.2">
      <c r="A111" s="30"/>
      <c r="B111" s="28"/>
      <c r="C111" s="30"/>
      <c r="D111" s="59"/>
      <c r="E111" s="57"/>
      <c r="F111" s="13"/>
      <c r="G111" s="13"/>
      <c r="H111" s="13"/>
      <c r="I111" s="57"/>
      <c r="J111" s="13"/>
      <c r="K111" s="13"/>
      <c r="L111" s="13"/>
      <c r="M111" s="13"/>
      <c r="N111" s="13"/>
      <c r="O111" s="13"/>
      <c r="P111" s="13"/>
      <c r="Q111" s="31"/>
    </row>
    <row r="112" spans="1:19" ht="78.75" outlineLevel="2" x14ac:dyDescent="0.2">
      <c r="A112" s="30">
        <v>50105</v>
      </c>
      <c r="B112" s="28"/>
      <c r="C112" s="30">
        <v>922398</v>
      </c>
      <c r="D112" s="37" t="s">
        <v>96</v>
      </c>
      <c r="E112" s="57" t="s">
        <v>634</v>
      </c>
      <c r="F112" s="13"/>
      <c r="G112" s="13">
        <v>0</v>
      </c>
      <c r="H112" s="13">
        <v>0</v>
      </c>
      <c r="I112" s="57">
        <f>9.79*2+5.26*2</f>
        <v>30.099999999999998</v>
      </c>
      <c r="J112" s="14" t="s">
        <v>684</v>
      </c>
      <c r="K112" s="13"/>
      <c r="L112" s="13">
        <v>25.06</v>
      </c>
      <c r="M112" s="13">
        <v>2044.14</v>
      </c>
      <c r="N112" s="13">
        <v>0</v>
      </c>
      <c r="O112" s="13">
        <v>0</v>
      </c>
      <c r="P112" s="13">
        <v>0</v>
      </c>
      <c r="Q112" s="31">
        <f>PRODUCT(K112,L112)</f>
        <v>25.06</v>
      </c>
    </row>
    <row r="113" spans="1:17" ht="45.75" outlineLevel="2" x14ac:dyDescent="0.25">
      <c r="A113" s="30"/>
      <c r="B113" s="28"/>
      <c r="C113" s="30"/>
      <c r="D113" s="37" t="s">
        <v>753</v>
      </c>
      <c r="E113" s="57" t="s">
        <v>634</v>
      </c>
      <c r="F113" s="13"/>
      <c r="G113" s="13"/>
      <c r="H113" s="13"/>
      <c r="I113" s="57">
        <v>10.050000000000001</v>
      </c>
      <c r="J113" s="14" t="s">
        <v>771</v>
      </c>
      <c r="K113" s="26" t="s">
        <v>772</v>
      </c>
      <c r="L113" s="13"/>
      <c r="M113" s="13"/>
      <c r="N113" s="13"/>
      <c r="O113" s="13"/>
      <c r="P113" s="13"/>
      <c r="Q113" s="31"/>
    </row>
    <row r="114" spans="1:17" ht="31.5" outlineLevel="2" x14ac:dyDescent="0.2">
      <c r="A114" s="30"/>
      <c r="B114" s="28"/>
      <c r="C114" s="30"/>
      <c r="D114" s="37" t="s">
        <v>754</v>
      </c>
      <c r="E114" s="57" t="s">
        <v>634</v>
      </c>
      <c r="F114" s="13"/>
      <c r="G114" s="13"/>
      <c r="H114" s="13"/>
      <c r="I114" s="57">
        <v>2.6</v>
      </c>
      <c r="J114" s="14" t="s">
        <v>689</v>
      </c>
      <c r="K114" s="13"/>
      <c r="L114" s="13"/>
      <c r="M114" s="13"/>
      <c r="N114" s="13"/>
      <c r="O114" s="13"/>
      <c r="P114" s="13"/>
      <c r="Q114" s="31"/>
    </row>
    <row r="115" spans="1:17" ht="31.5" outlineLevel="2" x14ac:dyDescent="0.2">
      <c r="A115" s="30"/>
      <c r="B115" s="28"/>
      <c r="C115" s="30"/>
      <c r="D115" s="37" t="s">
        <v>755</v>
      </c>
      <c r="E115" s="57" t="s">
        <v>11</v>
      </c>
      <c r="F115" s="13"/>
      <c r="G115" s="13"/>
      <c r="H115" s="13"/>
      <c r="I115" s="57">
        <f>23.06*18.6*0.05</f>
        <v>21.445800000000002</v>
      </c>
      <c r="J115" s="14" t="s">
        <v>683</v>
      </c>
      <c r="K115" s="38" t="s">
        <v>749</v>
      </c>
      <c r="L115" s="13"/>
      <c r="M115" s="13"/>
      <c r="N115" s="13"/>
      <c r="O115" s="13"/>
      <c r="P115" s="13"/>
      <c r="Q115" s="31"/>
    </row>
    <row r="116" spans="1:17" ht="15" outlineLevel="2" x14ac:dyDescent="0.2">
      <c r="A116" s="30"/>
      <c r="B116" s="28"/>
      <c r="C116" s="30"/>
      <c r="D116" s="59"/>
      <c r="E116" s="57"/>
      <c r="F116" s="13"/>
      <c r="G116" s="13"/>
      <c r="H116" s="13"/>
      <c r="I116" s="57"/>
      <c r="J116" s="14"/>
      <c r="K116" s="13"/>
      <c r="L116" s="13"/>
      <c r="M116" s="13"/>
      <c r="N116" s="13"/>
      <c r="O116" s="13"/>
      <c r="P116" s="13"/>
      <c r="Q116" s="31"/>
    </row>
    <row r="117" spans="1:17" ht="90" outlineLevel="2" x14ac:dyDescent="0.2">
      <c r="A117" s="30"/>
      <c r="B117" s="28"/>
      <c r="C117" s="30"/>
      <c r="D117" s="37" t="s">
        <v>685</v>
      </c>
      <c r="E117" s="57" t="s">
        <v>633</v>
      </c>
      <c r="F117" s="13"/>
      <c r="G117" s="13"/>
      <c r="H117" s="13"/>
      <c r="I117" s="57">
        <f>0.44*10</f>
        <v>4.4000000000000004</v>
      </c>
      <c r="J117" s="14" t="s">
        <v>686</v>
      </c>
      <c r="K117" s="38" t="s">
        <v>687</v>
      </c>
      <c r="L117" s="13"/>
      <c r="M117" s="13"/>
      <c r="N117" s="13"/>
      <c r="O117" s="13"/>
      <c r="P117" s="13"/>
      <c r="Q117" s="31"/>
    </row>
    <row r="118" spans="1:17" ht="15.75" outlineLevel="2" x14ac:dyDescent="0.2">
      <c r="A118" s="30"/>
      <c r="B118" s="28"/>
      <c r="C118" s="30"/>
      <c r="D118" s="37"/>
      <c r="E118" s="57"/>
      <c r="F118" s="13"/>
      <c r="G118" s="13"/>
      <c r="H118" s="13"/>
      <c r="I118" s="57"/>
      <c r="J118" s="14"/>
      <c r="K118" s="13"/>
      <c r="L118" s="13"/>
      <c r="M118" s="13"/>
      <c r="N118" s="13"/>
      <c r="O118" s="13"/>
      <c r="P118" s="13"/>
      <c r="Q118" s="31"/>
    </row>
    <row r="119" spans="1:17" ht="90" outlineLevel="2" x14ac:dyDescent="0.2">
      <c r="A119" s="30"/>
      <c r="B119" s="28"/>
      <c r="C119" s="30"/>
      <c r="D119" s="37" t="s">
        <v>688</v>
      </c>
      <c r="E119" s="57" t="s">
        <v>634</v>
      </c>
      <c r="F119" s="13"/>
      <c r="G119" s="13"/>
      <c r="H119" s="13"/>
      <c r="I119" s="57">
        <f>3.47*8+3.2*2</f>
        <v>34.160000000000004</v>
      </c>
      <c r="J119" s="14" t="s">
        <v>735</v>
      </c>
      <c r="K119" s="13"/>
      <c r="L119" s="13"/>
      <c r="M119" s="13"/>
      <c r="N119" s="13"/>
      <c r="O119" s="13"/>
      <c r="P119" s="13"/>
      <c r="Q119" s="31"/>
    </row>
    <row r="120" spans="1:17" ht="15" outlineLevel="2" x14ac:dyDescent="0.2">
      <c r="A120" s="30"/>
      <c r="B120" s="28"/>
      <c r="C120" s="30"/>
      <c r="D120" s="94" t="s">
        <v>736</v>
      </c>
      <c r="E120" s="57"/>
      <c r="F120" s="13"/>
      <c r="G120" s="13"/>
      <c r="H120" s="13"/>
      <c r="I120" s="57"/>
      <c r="J120" s="40"/>
      <c r="K120" s="13"/>
      <c r="L120" s="13"/>
      <c r="M120" s="13"/>
      <c r="N120" s="13"/>
      <c r="O120" s="13"/>
      <c r="P120" s="13"/>
      <c r="Q120" s="31"/>
    </row>
    <row r="121" spans="1:17" ht="15" outlineLevel="2" x14ac:dyDescent="0.2">
      <c r="A121" s="30"/>
      <c r="B121" s="28"/>
      <c r="C121" s="30"/>
      <c r="D121" s="95"/>
      <c r="E121" s="57"/>
      <c r="F121" s="13"/>
      <c r="G121" s="13"/>
      <c r="H121" s="13"/>
      <c r="I121" s="57"/>
      <c r="J121" s="40"/>
      <c r="K121" s="13"/>
      <c r="L121" s="13"/>
      <c r="M121" s="13"/>
      <c r="N121" s="13"/>
      <c r="O121" s="13"/>
      <c r="P121" s="13"/>
      <c r="Q121" s="31"/>
    </row>
    <row r="122" spans="1:17" ht="15" outlineLevel="2" x14ac:dyDescent="0.2">
      <c r="A122" s="30"/>
      <c r="B122" s="28"/>
      <c r="C122" s="30"/>
      <c r="D122" s="95"/>
      <c r="E122" s="57"/>
      <c r="F122" s="13"/>
      <c r="G122" s="13"/>
      <c r="H122" s="13"/>
      <c r="I122" s="57"/>
      <c r="J122" s="40"/>
      <c r="K122" s="13"/>
      <c r="L122" s="13"/>
      <c r="M122" s="13"/>
      <c r="N122" s="13"/>
      <c r="O122" s="13"/>
      <c r="P122" s="13"/>
      <c r="Q122" s="31"/>
    </row>
    <row r="123" spans="1:17" ht="15" outlineLevel="2" x14ac:dyDescent="0.2">
      <c r="A123" s="30"/>
      <c r="B123" s="28"/>
      <c r="C123" s="30"/>
      <c r="D123" s="95"/>
      <c r="E123" s="57"/>
      <c r="F123" s="13"/>
      <c r="G123" s="13"/>
      <c r="H123" s="13"/>
      <c r="I123" s="57"/>
      <c r="J123" s="40"/>
      <c r="K123" s="13"/>
      <c r="L123" s="13"/>
      <c r="M123" s="13"/>
      <c r="N123" s="13"/>
      <c r="O123" s="13"/>
      <c r="P123" s="13"/>
      <c r="Q123" s="31"/>
    </row>
    <row r="124" spans="1:17" ht="15" outlineLevel="2" x14ac:dyDescent="0.2">
      <c r="A124" s="30"/>
      <c r="B124" s="28"/>
      <c r="C124" s="30"/>
      <c r="D124" s="95"/>
      <c r="E124" s="57"/>
      <c r="F124" s="13"/>
      <c r="G124" s="13"/>
      <c r="H124" s="13"/>
      <c r="I124" s="57"/>
      <c r="J124" s="40"/>
      <c r="K124" s="13"/>
      <c r="L124" s="13"/>
      <c r="M124" s="13"/>
      <c r="N124" s="13"/>
      <c r="O124" s="13"/>
      <c r="P124" s="13"/>
      <c r="Q124" s="31"/>
    </row>
    <row r="125" spans="1:17" ht="15" outlineLevel="2" x14ac:dyDescent="0.2">
      <c r="A125" s="30"/>
      <c r="B125" s="28"/>
      <c r="C125" s="30"/>
      <c r="D125" s="95"/>
      <c r="E125" s="57"/>
      <c r="F125" s="13"/>
      <c r="G125" s="13"/>
      <c r="H125" s="13"/>
      <c r="I125" s="69"/>
      <c r="J125" s="40"/>
      <c r="K125" s="13"/>
      <c r="L125" s="13"/>
      <c r="M125" s="13"/>
      <c r="N125" s="13"/>
      <c r="O125" s="13"/>
      <c r="P125" s="13"/>
      <c r="Q125" s="31"/>
    </row>
    <row r="126" spans="1:17" ht="15" outlineLevel="2" x14ac:dyDescent="0.2">
      <c r="A126" s="30"/>
      <c r="B126" s="28"/>
      <c r="C126" s="30"/>
      <c r="D126" s="96"/>
      <c r="E126" s="57"/>
      <c r="F126" s="13"/>
      <c r="G126" s="13"/>
      <c r="H126" s="13"/>
      <c r="I126" s="57"/>
      <c r="J126" s="41"/>
      <c r="K126" s="13"/>
      <c r="L126" s="13"/>
      <c r="M126" s="13"/>
      <c r="N126" s="13"/>
      <c r="O126" s="13"/>
      <c r="P126" s="13"/>
      <c r="Q126" s="31"/>
    </row>
    <row r="127" spans="1:17" ht="15.75" outlineLevel="2" x14ac:dyDescent="0.2">
      <c r="A127" s="30"/>
      <c r="B127" s="28"/>
      <c r="C127" s="30"/>
      <c r="D127" s="37"/>
      <c r="E127" s="57"/>
      <c r="F127" s="13"/>
      <c r="G127" s="13"/>
      <c r="H127" s="13"/>
      <c r="I127" s="57"/>
      <c r="J127" s="13"/>
      <c r="K127" s="13"/>
      <c r="L127" s="13"/>
      <c r="M127" s="13"/>
      <c r="N127" s="13"/>
      <c r="O127" s="13"/>
      <c r="P127" s="13"/>
      <c r="Q127" s="31"/>
    </row>
    <row r="128" spans="1:17" ht="90" outlineLevel="2" x14ac:dyDescent="0.2">
      <c r="A128" s="30"/>
      <c r="B128" s="28"/>
      <c r="C128" s="30"/>
      <c r="D128" s="37" t="s">
        <v>705</v>
      </c>
      <c r="E128" s="57"/>
      <c r="F128" s="13"/>
      <c r="G128" s="13"/>
      <c r="H128" s="13"/>
      <c r="I128" s="57"/>
      <c r="J128" s="14" t="s">
        <v>704</v>
      </c>
      <c r="K128" s="13"/>
      <c r="L128" s="13"/>
      <c r="M128" s="13"/>
      <c r="N128" s="13"/>
      <c r="O128" s="13"/>
      <c r="P128" s="13"/>
      <c r="Q128" s="31"/>
    </row>
    <row r="129" spans="1:17" ht="31.5" outlineLevel="2" x14ac:dyDescent="0.2">
      <c r="A129" s="30"/>
      <c r="B129" s="28"/>
      <c r="C129" s="30"/>
      <c r="D129" s="58" t="s">
        <v>727</v>
      </c>
      <c r="E129" s="57"/>
      <c r="F129" s="13"/>
      <c r="G129" s="13"/>
      <c r="H129" s="13"/>
      <c r="I129" s="57"/>
      <c r="J129" s="42" t="s">
        <v>728</v>
      </c>
      <c r="K129" s="13"/>
      <c r="L129" s="13"/>
      <c r="M129" s="13"/>
      <c r="N129" s="13"/>
      <c r="O129" s="13"/>
      <c r="P129" s="13"/>
      <c r="Q129" s="31"/>
    </row>
    <row r="130" spans="1:17" ht="15.75" outlineLevel="2" x14ac:dyDescent="0.2">
      <c r="A130" s="30"/>
      <c r="B130" s="28"/>
      <c r="C130" s="30"/>
      <c r="D130" s="58"/>
      <c r="E130" s="57"/>
      <c r="F130" s="13"/>
      <c r="G130" s="13"/>
      <c r="H130" s="13"/>
      <c r="I130" s="57"/>
      <c r="J130" s="43"/>
      <c r="K130" s="13"/>
      <c r="L130" s="13"/>
      <c r="M130" s="13"/>
      <c r="N130" s="13"/>
      <c r="O130" s="13"/>
      <c r="P130" s="13"/>
      <c r="Q130" s="31"/>
    </row>
    <row r="131" spans="1:17" ht="110.25" outlineLevel="2" x14ac:dyDescent="0.2">
      <c r="A131" s="30">
        <v>50106</v>
      </c>
      <c r="B131" s="28"/>
      <c r="C131" s="30">
        <v>925016</v>
      </c>
      <c r="D131" s="37" t="s">
        <v>97</v>
      </c>
      <c r="E131" s="57" t="s">
        <v>634</v>
      </c>
      <c r="F131" s="13"/>
      <c r="G131" s="13">
        <v>38.450000000000003</v>
      </c>
      <c r="H131" s="13">
        <v>23.35</v>
      </c>
      <c r="I131" s="57">
        <f>I132+I133+I134+I135+I136+I137+I138</f>
        <v>313.90000000000003</v>
      </c>
      <c r="J131" s="13"/>
      <c r="K131" s="13"/>
      <c r="L131" s="13">
        <v>20.28</v>
      </c>
      <c r="M131" s="13">
        <v>5014.83</v>
      </c>
      <c r="N131" s="13">
        <v>779.76</v>
      </c>
      <c r="O131" s="13">
        <v>473.53</v>
      </c>
      <c r="P131" s="13">
        <v>1253.29</v>
      </c>
      <c r="Q131" s="31">
        <f>PRODUCT(K131,L131)</f>
        <v>20.28</v>
      </c>
    </row>
    <row r="132" spans="1:17" ht="30" outlineLevel="2" x14ac:dyDescent="0.2">
      <c r="A132" s="30"/>
      <c r="B132" s="28"/>
      <c r="C132" s="30"/>
      <c r="D132" s="59" t="s">
        <v>403</v>
      </c>
      <c r="E132" s="57"/>
      <c r="F132" s="13"/>
      <c r="G132" s="13"/>
      <c r="H132" s="13"/>
      <c r="I132" s="57">
        <f>1.6*2+1.6*4+6*4+7.2+16.15</f>
        <v>56.95</v>
      </c>
      <c r="J132" s="14" t="s">
        <v>624</v>
      </c>
      <c r="K132" s="13"/>
      <c r="L132" s="13"/>
      <c r="M132" s="13"/>
      <c r="N132" s="13"/>
      <c r="O132" s="13"/>
      <c r="P132" s="13"/>
      <c r="Q132" s="31"/>
    </row>
    <row r="133" spans="1:17" ht="30" outlineLevel="2" x14ac:dyDescent="0.2">
      <c r="A133" s="30"/>
      <c r="B133" s="28"/>
      <c r="C133" s="30"/>
      <c r="D133" s="59" t="s">
        <v>404</v>
      </c>
      <c r="E133" s="57"/>
      <c r="F133" s="13"/>
      <c r="G133" s="13"/>
      <c r="H133" s="13"/>
      <c r="I133" s="57">
        <f>7.16*2+5.32*2</f>
        <v>24.96</v>
      </c>
      <c r="J133" s="14" t="s">
        <v>625</v>
      </c>
      <c r="K133" s="13"/>
      <c r="L133" s="13"/>
      <c r="M133" s="13"/>
      <c r="N133" s="13"/>
      <c r="O133" s="13"/>
      <c r="P133" s="13"/>
      <c r="Q133" s="31"/>
    </row>
    <row r="134" spans="1:17" ht="30" outlineLevel="2" x14ac:dyDescent="0.2">
      <c r="A134" s="30"/>
      <c r="B134" s="28"/>
      <c r="C134" s="30"/>
      <c r="D134" s="59" t="s">
        <v>405</v>
      </c>
      <c r="E134" s="57"/>
      <c r="F134" s="13"/>
      <c r="G134" s="13"/>
      <c r="H134" s="13"/>
      <c r="I134" s="57">
        <f>7.16*2+5.32*2</f>
        <v>24.96</v>
      </c>
      <c r="J134" s="14" t="s">
        <v>626</v>
      </c>
      <c r="K134" s="13"/>
      <c r="L134" s="13"/>
      <c r="M134" s="13"/>
      <c r="N134" s="13"/>
      <c r="O134" s="13"/>
      <c r="P134" s="13"/>
      <c r="Q134" s="31"/>
    </row>
    <row r="135" spans="1:17" ht="30" outlineLevel="2" x14ac:dyDescent="0.2">
      <c r="A135" s="30"/>
      <c r="B135" s="28"/>
      <c r="C135" s="30"/>
      <c r="D135" s="59" t="s">
        <v>406</v>
      </c>
      <c r="E135" s="57"/>
      <c r="F135" s="13"/>
      <c r="G135" s="13"/>
      <c r="H135" s="13"/>
      <c r="I135" s="57">
        <f>1.6*2+1.6*4+6*4+25.8+4.8</f>
        <v>64.2</v>
      </c>
      <c r="J135" s="14" t="s">
        <v>623</v>
      </c>
      <c r="K135" s="13"/>
      <c r="L135" s="13"/>
      <c r="M135" s="13"/>
      <c r="N135" s="13"/>
      <c r="O135" s="13"/>
      <c r="P135" s="13"/>
      <c r="Q135" s="31"/>
    </row>
    <row r="136" spans="1:17" ht="30" outlineLevel="2" x14ac:dyDescent="0.2">
      <c r="A136" s="30"/>
      <c r="B136" s="28"/>
      <c r="C136" s="30"/>
      <c r="D136" s="59" t="s">
        <v>450</v>
      </c>
      <c r="E136" s="57"/>
      <c r="F136" s="13"/>
      <c r="G136" s="13"/>
      <c r="H136" s="13"/>
      <c r="I136" s="57">
        <f>5.24*2+7.16*2</f>
        <v>24.8</v>
      </c>
      <c r="J136" s="14" t="s">
        <v>627</v>
      </c>
      <c r="K136" s="13"/>
      <c r="L136" s="13"/>
      <c r="M136" s="13"/>
      <c r="N136" s="13"/>
      <c r="O136" s="13"/>
      <c r="P136" s="13"/>
      <c r="Q136" s="31"/>
    </row>
    <row r="137" spans="1:17" ht="30" outlineLevel="2" x14ac:dyDescent="0.2">
      <c r="A137" s="30"/>
      <c r="B137" s="28"/>
      <c r="C137" s="30"/>
      <c r="D137" s="59" t="s">
        <v>451</v>
      </c>
      <c r="E137" s="57"/>
      <c r="F137" s="13"/>
      <c r="G137" s="13"/>
      <c r="H137" s="13"/>
      <c r="I137" s="57">
        <f>5.24*2+7.16*2+37.94</f>
        <v>62.739999999999995</v>
      </c>
      <c r="J137" s="14" t="s">
        <v>628</v>
      </c>
      <c r="K137" s="13"/>
      <c r="L137" s="13"/>
      <c r="M137" s="13"/>
      <c r="N137" s="13"/>
      <c r="O137" s="13"/>
      <c r="P137" s="13"/>
      <c r="Q137" s="31"/>
    </row>
    <row r="138" spans="1:17" ht="30" x14ac:dyDescent="0.2">
      <c r="A138" s="28"/>
      <c r="B138" s="28"/>
      <c r="C138" s="28"/>
      <c r="D138" s="59" t="s">
        <v>408</v>
      </c>
      <c r="E138" s="67"/>
      <c r="F138" s="28"/>
      <c r="G138" s="28"/>
      <c r="H138" s="28"/>
      <c r="I138" s="57">
        <f>5.24*2+7.16*2+30.49</f>
        <v>55.29</v>
      </c>
      <c r="J138" s="14" t="s">
        <v>779</v>
      </c>
      <c r="K138" s="28"/>
      <c r="L138" s="28"/>
      <c r="M138" s="28"/>
      <c r="N138" s="28"/>
      <c r="O138" s="28"/>
      <c r="P138" s="28"/>
      <c r="Q138" s="31">
        <f>PRODUCT(K138,L138)</f>
        <v>0</v>
      </c>
    </row>
    <row r="139" spans="1:17" ht="15.75" outlineLevel="2" x14ac:dyDescent="0.2">
      <c r="A139" s="30"/>
      <c r="B139" s="28"/>
      <c r="C139" s="30"/>
      <c r="D139" s="37" t="s">
        <v>651</v>
      </c>
      <c r="E139" s="67" t="s">
        <v>633</v>
      </c>
      <c r="F139" s="13" t="s">
        <v>9</v>
      </c>
      <c r="G139" s="13">
        <v>0</v>
      </c>
      <c r="H139" s="13">
        <v>0</v>
      </c>
      <c r="I139" s="57"/>
      <c r="J139" s="13"/>
      <c r="K139" s="13"/>
      <c r="L139" s="13" t="s">
        <v>9</v>
      </c>
      <c r="M139" s="13" t="s">
        <v>9</v>
      </c>
      <c r="N139" s="13">
        <v>0</v>
      </c>
      <c r="O139" s="13">
        <v>0</v>
      </c>
      <c r="P139" s="13">
        <v>0</v>
      </c>
      <c r="Q139" s="31">
        <f>PRODUCT(K139,L139)</f>
        <v>0</v>
      </c>
    </row>
    <row r="140" spans="1:17" ht="30" outlineLevel="2" x14ac:dyDescent="0.2">
      <c r="A140" s="30"/>
      <c r="B140" s="28"/>
      <c r="C140" s="30"/>
      <c r="D140" s="59" t="s">
        <v>403</v>
      </c>
      <c r="E140" s="59"/>
      <c r="F140" s="13"/>
      <c r="G140" s="13"/>
      <c r="H140" s="13"/>
      <c r="I140" s="57">
        <f>1*0.6*2</f>
        <v>1.2</v>
      </c>
      <c r="J140" s="14" t="s">
        <v>416</v>
      </c>
      <c r="K140" s="98"/>
      <c r="L140" s="13"/>
      <c r="M140" s="13"/>
      <c r="N140" s="13"/>
      <c r="O140" s="13"/>
      <c r="P140" s="13"/>
      <c r="Q140" s="31"/>
    </row>
    <row r="141" spans="1:17" ht="30" outlineLevel="2" x14ac:dyDescent="0.2">
      <c r="A141" s="30"/>
      <c r="B141" s="28"/>
      <c r="C141" s="30"/>
      <c r="D141" s="59" t="s">
        <v>403</v>
      </c>
      <c r="E141" s="59"/>
      <c r="F141" s="13"/>
      <c r="G141" s="13"/>
      <c r="H141" s="13"/>
      <c r="I141" s="57">
        <f>3.25*1*1</f>
        <v>3.25</v>
      </c>
      <c r="J141" s="14" t="s">
        <v>417</v>
      </c>
      <c r="K141" s="99"/>
      <c r="L141" s="13"/>
      <c r="M141" s="13"/>
      <c r="N141" s="13"/>
      <c r="O141" s="13"/>
      <c r="P141" s="13"/>
      <c r="Q141" s="31"/>
    </row>
    <row r="142" spans="1:17" ht="30" outlineLevel="2" x14ac:dyDescent="0.2">
      <c r="A142" s="30"/>
      <c r="B142" s="28"/>
      <c r="C142" s="30"/>
      <c r="D142" s="59" t="s">
        <v>403</v>
      </c>
      <c r="E142" s="59"/>
      <c r="F142" s="13"/>
      <c r="G142" s="13"/>
      <c r="H142" s="13"/>
      <c r="I142" s="57">
        <f>0.95*1*1</f>
        <v>0.95</v>
      </c>
      <c r="J142" s="14" t="s">
        <v>418</v>
      </c>
      <c r="K142" s="99"/>
      <c r="L142" s="13"/>
      <c r="M142" s="13"/>
      <c r="N142" s="13"/>
      <c r="O142" s="13"/>
      <c r="P142" s="13"/>
      <c r="Q142" s="31"/>
    </row>
    <row r="143" spans="1:17" ht="30" outlineLevel="2" x14ac:dyDescent="0.2">
      <c r="A143" s="30"/>
      <c r="B143" s="28"/>
      <c r="C143" s="30"/>
      <c r="D143" s="59" t="s">
        <v>403</v>
      </c>
      <c r="E143" s="59"/>
      <c r="F143" s="13"/>
      <c r="G143" s="13"/>
      <c r="H143" s="13"/>
      <c r="I143" s="57">
        <f>0.9*1.4*1</f>
        <v>1.26</v>
      </c>
      <c r="J143" s="14" t="s">
        <v>419</v>
      </c>
      <c r="K143" s="99"/>
      <c r="L143" s="13"/>
      <c r="M143" s="13"/>
      <c r="N143" s="13"/>
      <c r="O143" s="13"/>
      <c r="P143" s="13"/>
      <c r="Q143" s="31"/>
    </row>
    <row r="144" spans="1:17" ht="30" outlineLevel="2" x14ac:dyDescent="0.2">
      <c r="A144" s="30"/>
      <c r="B144" s="28"/>
      <c r="C144" s="30"/>
      <c r="D144" s="59" t="s">
        <v>404</v>
      </c>
      <c r="E144" s="59"/>
      <c r="F144" s="13"/>
      <c r="G144" s="13"/>
      <c r="H144" s="13"/>
      <c r="I144" s="57">
        <f>2.15*1.8*7</f>
        <v>27.09</v>
      </c>
      <c r="J144" s="14" t="s">
        <v>621</v>
      </c>
      <c r="K144" s="99"/>
      <c r="L144" s="97">
        <v>7</v>
      </c>
      <c r="M144" s="97"/>
      <c r="N144" s="13"/>
      <c r="O144" s="13"/>
      <c r="P144" s="13"/>
      <c r="Q144" s="31"/>
    </row>
    <row r="145" spans="1:17" ht="30" outlineLevel="2" x14ac:dyDescent="0.2">
      <c r="A145" s="30"/>
      <c r="B145" s="28"/>
      <c r="C145" s="30"/>
      <c r="D145" s="59" t="s">
        <v>404</v>
      </c>
      <c r="E145" s="59"/>
      <c r="F145" s="13"/>
      <c r="G145" s="13"/>
      <c r="H145" s="13"/>
      <c r="I145" s="57">
        <f>1.07*0.55*3</f>
        <v>1.7655000000000003</v>
      </c>
      <c r="J145" s="14" t="s">
        <v>420</v>
      </c>
      <c r="K145" s="99"/>
      <c r="L145" s="97">
        <v>3</v>
      </c>
      <c r="M145" s="97"/>
      <c r="N145" s="13"/>
      <c r="O145" s="13"/>
      <c r="P145" s="13"/>
      <c r="Q145" s="31"/>
    </row>
    <row r="146" spans="1:17" ht="30" outlineLevel="2" x14ac:dyDescent="0.2">
      <c r="A146" s="30"/>
      <c r="B146" s="28"/>
      <c r="C146" s="30"/>
      <c r="D146" s="59" t="s">
        <v>404</v>
      </c>
      <c r="E146" s="59"/>
      <c r="F146" s="13"/>
      <c r="G146" s="13"/>
      <c r="H146" s="13"/>
      <c r="I146" s="57">
        <f>2.15*0.55*3</f>
        <v>3.5475000000000003</v>
      </c>
      <c r="J146" s="14" t="s">
        <v>620</v>
      </c>
      <c r="K146" s="99"/>
      <c r="L146" s="97">
        <v>3</v>
      </c>
      <c r="M146" s="97"/>
      <c r="N146" s="13"/>
      <c r="O146" s="13"/>
      <c r="P146" s="13"/>
      <c r="Q146" s="31"/>
    </row>
    <row r="147" spans="1:17" ht="30" outlineLevel="2" x14ac:dyDescent="0.2">
      <c r="A147" s="30"/>
      <c r="B147" s="28"/>
      <c r="C147" s="30"/>
      <c r="D147" s="59" t="s">
        <v>404</v>
      </c>
      <c r="E147" s="59"/>
      <c r="F147" s="13"/>
      <c r="G147" s="13"/>
      <c r="H147" s="13"/>
      <c r="I147" s="57">
        <f>2.1*0.55*2</f>
        <v>2.3100000000000005</v>
      </c>
      <c r="J147" s="14" t="s">
        <v>421</v>
      </c>
      <c r="K147" s="99"/>
      <c r="L147" s="97">
        <v>2</v>
      </c>
      <c r="M147" s="97"/>
      <c r="N147" s="13"/>
      <c r="O147" s="13"/>
      <c r="P147" s="13"/>
      <c r="Q147" s="31"/>
    </row>
    <row r="148" spans="1:17" ht="45" outlineLevel="2" x14ac:dyDescent="0.2">
      <c r="A148" s="30"/>
      <c r="B148" s="28"/>
      <c r="C148" s="30"/>
      <c r="D148" s="59" t="s">
        <v>405</v>
      </c>
      <c r="E148" s="59"/>
      <c r="F148" s="13"/>
      <c r="G148" s="13"/>
      <c r="H148" s="13"/>
      <c r="I148" s="57">
        <f>2.15*1.8*7</f>
        <v>27.09</v>
      </c>
      <c r="J148" s="14" t="s">
        <v>425</v>
      </c>
      <c r="K148" s="99"/>
      <c r="L148" s="13"/>
      <c r="M148" s="13"/>
      <c r="N148" s="13"/>
      <c r="O148" s="13"/>
      <c r="P148" s="13"/>
      <c r="Q148" s="31"/>
    </row>
    <row r="149" spans="1:17" ht="45" outlineLevel="2" x14ac:dyDescent="0.2">
      <c r="A149" s="30"/>
      <c r="B149" s="28"/>
      <c r="C149" s="30"/>
      <c r="D149" s="59" t="s">
        <v>405</v>
      </c>
      <c r="E149" s="59"/>
      <c r="F149" s="13"/>
      <c r="G149" s="13"/>
      <c r="H149" s="13"/>
      <c r="I149" s="57">
        <f>1.07*1.8*1</f>
        <v>1.9260000000000002</v>
      </c>
      <c r="J149" s="14" t="s">
        <v>424</v>
      </c>
      <c r="K149" s="99"/>
      <c r="L149" s="13"/>
      <c r="M149" s="13"/>
      <c r="N149" s="13"/>
      <c r="O149" s="13"/>
      <c r="P149" s="13"/>
      <c r="Q149" s="31"/>
    </row>
    <row r="150" spans="1:17" ht="30" outlineLevel="2" x14ac:dyDescent="0.2">
      <c r="A150" s="30"/>
      <c r="B150" s="28"/>
      <c r="C150" s="30"/>
      <c r="D150" s="59" t="s">
        <v>405</v>
      </c>
      <c r="E150" s="59"/>
      <c r="F150" s="13"/>
      <c r="G150" s="13"/>
      <c r="H150" s="13"/>
      <c r="I150" s="57">
        <f>1.07*0.55*3</f>
        <v>1.7655000000000003</v>
      </c>
      <c r="J150" s="14" t="s">
        <v>423</v>
      </c>
      <c r="K150" s="99"/>
      <c r="L150" s="13"/>
      <c r="M150" s="13"/>
      <c r="N150" s="13"/>
      <c r="O150" s="13"/>
      <c r="P150" s="13"/>
      <c r="Q150" s="31"/>
    </row>
    <row r="151" spans="1:17" ht="30" outlineLevel="2" x14ac:dyDescent="0.2">
      <c r="A151" s="30"/>
      <c r="B151" s="28"/>
      <c r="C151" s="30"/>
      <c r="D151" s="59" t="s">
        <v>405</v>
      </c>
      <c r="E151" s="59"/>
      <c r="F151" s="13"/>
      <c r="G151" s="13"/>
      <c r="H151" s="13"/>
      <c r="I151" s="57">
        <f>2.15*0.55*7</f>
        <v>8.2774999999999999</v>
      </c>
      <c r="J151" s="14" t="s">
        <v>422</v>
      </c>
      <c r="K151" s="99"/>
      <c r="L151" s="13"/>
      <c r="M151" s="13"/>
      <c r="N151" s="13"/>
      <c r="O151" s="13"/>
      <c r="P151" s="13"/>
      <c r="Q151" s="31"/>
    </row>
    <row r="152" spans="1:17" ht="30" outlineLevel="2" x14ac:dyDescent="0.2">
      <c r="A152" s="30"/>
      <c r="B152" s="28"/>
      <c r="C152" s="30"/>
      <c r="D152" s="59" t="s">
        <v>426</v>
      </c>
      <c r="E152" s="59"/>
      <c r="F152" s="13"/>
      <c r="G152" s="13">
        <f>1*0.6*5</f>
        <v>3</v>
      </c>
      <c r="H152" s="13">
        <f>1*0.6*5</f>
        <v>3</v>
      </c>
      <c r="I152" s="57">
        <f>1*0.6*5</f>
        <v>3</v>
      </c>
      <c r="J152" s="14" t="s">
        <v>429</v>
      </c>
      <c r="K152" s="99"/>
      <c r="L152" s="13"/>
      <c r="M152" s="13"/>
      <c r="N152" s="13"/>
      <c r="O152" s="13"/>
      <c r="P152" s="13"/>
      <c r="Q152" s="31"/>
    </row>
    <row r="153" spans="1:17" ht="30" outlineLevel="2" x14ac:dyDescent="0.2">
      <c r="A153" s="30"/>
      <c r="B153" s="28"/>
      <c r="C153" s="30"/>
      <c r="D153" s="59" t="s">
        <v>426</v>
      </c>
      <c r="E153" s="59"/>
      <c r="F153" s="13"/>
      <c r="G153" s="13">
        <f>2.85*0.6*1</f>
        <v>1.71</v>
      </c>
      <c r="H153" s="13">
        <f>2.85*0.6*1</f>
        <v>1.71</v>
      </c>
      <c r="I153" s="57">
        <f>2.85*0.6*1</f>
        <v>1.71</v>
      </c>
      <c r="J153" s="14" t="s">
        <v>430</v>
      </c>
      <c r="K153" s="99"/>
      <c r="L153" s="13"/>
      <c r="M153" s="13"/>
      <c r="N153" s="13"/>
      <c r="O153" s="13"/>
      <c r="P153" s="13"/>
      <c r="Q153" s="31"/>
    </row>
    <row r="154" spans="1:17" ht="30" outlineLevel="2" x14ac:dyDescent="0.2">
      <c r="A154" s="30"/>
      <c r="B154" s="28"/>
      <c r="C154" s="30"/>
      <c r="D154" s="59" t="s">
        <v>426</v>
      </c>
      <c r="E154" s="59"/>
      <c r="F154" s="13"/>
      <c r="G154" s="13">
        <f>2.48*0.6*1</f>
        <v>1.488</v>
      </c>
      <c r="H154" s="13">
        <f>2.48*0.6*1</f>
        <v>1.488</v>
      </c>
      <c r="I154" s="57">
        <f>2.48*0.6*1</f>
        <v>1.488</v>
      </c>
      <c r="J154" s="14" t="s">
        <v>431</v>
      </c>
      <c r="K154" s="99"/>
      <c r="L154" s="13"/>
      <c r="M154" s="13"/>
      <c r="N154" s="13"/>
      <c r="O154" s="13"/>
      <c r="P154" s="13"/>
      <c r="Q154" s="31"/>
    </row>
    <row r="155" spans="1:17" ht="30" outlineLevel="2" x14ac:dyDescent="0.2">
      <c r="A155" s="30"/>
      <c r="B155" s="28"/>
      <c r="C155" s="30"/>
      <c r="D155" s="59" t="s">
        <v>426</v>
      </c>
      <c r="E155" s="59"/>
      <c r="F155" s="13"/>
      <c r="G155" s="13">
        <f>2.1*1.4*1</f>
        <v>2.94</v>
      </c>
      <c r="H155" s="13">
        <f>2.1*1.4*1</f>
        <v>2.94</v>
      </c>
      <c r="I155" s="57">
        <f>2.1*1.4*1</f>
        <v>2.94</v>
      </c>
      <c r="J155" s="14" t="s">
        <v>432</v>
      </c>
      <c r="K155" s="99"/>
      <c r="L155" s="13"/>
      <c r="M155" s="13"/>
      <c r="N155" s="13"/>
      <c r="O155" s="13"/>
      <c r="P155" s="13"/>
      <c r="Q155" s="31"/>
    </row>
    <row r="156" spans="1:17" ht="30" outlineLevel="2" x14ac:dyDescent="0.2">
      <c r="A156" s="30"/>
      <c r="B156" s="28"/>
      <c r="C156" s="30"/>
      <c r="D156" s="59" t="s">
        <v>426</v>
      </c>
      <c r="E156" s="59"/>
      <c r="F156" s="13"/>
      <c r="G156" s="13">
        <f>0.85*1.4*2</f>
        <v>2.38</v>
      </c>
      <c r="H156" s="13">
        <f>0.85*1.4*2</f>
        <v>2.38</v>
      </c>
      <c r="I156" s="57">
        <f>0.85*1.4*2</f>
        <v>2.38</v>
      </c>
      <c r="J156" s="14" t="s">
        <v>433</v>
      </c>
      <c r="K156" s="99"/>
      <c r="L156" s="13"/>
      <c r="M156" s="13"/>
      <c r="N156" s="13"/>
      <c r="O156" s="13"/>
      <c r="P156" s="13"/>
      <c r="Q156" s="31"/>
    </row>
    <row r="157" spans="1:17" ht="30" outlineLevel="2" x14ac:dyDescent="0.2">
      <c r="A157" s="30"/>
      <c r="B157" s="28"/>
      <c r="C157" s="30"/>
      <c r="D157" s="59" t="s">
        <v>426</v>
      </c>
      <c r="E157" s="59"/>
      <c r="F157" s="13"/>
      <c r="G157" s="13">
        <f>0.35*1.4*1</f>
        <v>0.48999999999999994</v>
      </c>
      <c r="H157" s="13">
        <f>0.35*1.4*1</f>
        <v>0.48999999999999994</v>
      </c>
      <c r="I157" s="57">
        <f>0.35*1.4*1</f>
        <v>0.48999999999999994</v>
      </c>
      <c r="J157" s="14" t="s">
        <v>434</v>
      </c>
      <c r="K157" s="99"/>
      <c r="L157" s="13"/>
      <c r="M157" s="13"/>
      <c r="N157" s="13"/>
      <c r="O157" s="13"/>
      <c r="P157" s="13"/>
      <c r="Q157" s="31"/>
    </row>
    <row r="158" spans="1:17" ht="30" outlineLevel="2" x14ac:dyDescent="0.2">
      <c r="A158" s="30"/>
      <c r="B158" s="28"/>
      <c r="C158" s="30"/>
      <c r="D158" s="59" t="s">
        <v>426</v>
      </c>
      <c r="E158" s="59"/>
      <c r="F158" s="13"/>
      <c r="G158" s="13">
        <f>0.41*1.4*1</f>
        <v>0.57399999999999995</v>
      </c>
      <c r="H158" s="13">
        <f>0.41*1.4*1</f>
        <v>0.57399999999999995</v>
      </c>
      <c r="I158" s="57">
        <f>0.41*1.4*1</f>
        <v>0.57399999999999995</v>
      </c>
      <c r="J158" s="14" t="s">
        <v>435</v>
      </c>
      <c r="K158" s="99"/>
      <c r="L158" s="13"/>
      <c r="M158" s="13"/>
      <c r="N158" s="13"/>
      <c r="O158" s="13"/>
      <c r="P158" s="13"/>
      <c r="Q158" s="31"/>
    </row>
    <row r="159" spans="1:17" ht="30" outlineLevel="2" x14ac:dyDescent="0.2">
      <c r="A159" s="30"/>
      <c r="B159" s="28"/>
      <c r="C159" s="30"/>
      <c r="D159" s="59" t="s">
        <v>426</v>
      </c>
      <c r="E159" s="59"/>
      <c r="F159" s="13"/>
      <c r="G159" s="13">
        <f>1.25*1.55*1</f>
        <v>1.9375</v>
      </c>
      <c r="H159" s="13">
        <f>1.25*1.55*1</f>
        <v>1.9375</v>
      </c>
      <c r="I159" s="57">
        <f>1.25*1.55*1</f>
        <v>1.9375</v>
      </c>
      <c r="J159" s="14" t="s">
        <v>436</v>
      </c>
      <c r="K159" s="99"/>
      <c r="L159" s="13"/>
      <c r="M159" s="13"/>
      <c r="N159" s="13"/>
      <c r="O159" s="13"/>
      <c r="P159" s="13"/>
      <c r="Q159" s="31"/>
    </row>
    <row r="160" spans="1:17" ht="45" outlineLevel="2" x14ac:dyDescent="0.2">
      <c r="A160" s="30"/>
      <c r="B160" s="28"/>
      <c r="C160" s="30"/>
      <c r="D160" s="59" t="s">
        <v>427</v>
      </c>
      <c r="E160" s="59"/>
      <c r="F160" s="13"/>
      <c r="G160" s="13">
        <f>2.15*1.8*8</f>
        <v>30.96</v>
      </c>
      <c r="H160" s="13">
        <f>2.15*1.8*8</f>
        <v>30.96</v>
      </c>
      <c r="I160" s="57">
        <f>2.15*1.8*8</f>
        <v>30.96</v>
      </c>
      <c r="J160" s="14" t="s">
        <v>437</v>
      </c>
      <c r="K160" s="99"/>
      <c r="L160" s="13"/>
      <c r="M160" s="13"/>
      <c r="N160" s="13"/>
      <c r="O160" s="13"/>
      <c r="P160" s="13"/>
      <c r="Q160" s="31"/>
    </row>
    <row r="161" spans="1:17" ht="45" outlineLevel="2" x14ac:dyDescent="0.2">
      <c r="A161" s="30"/>
      <c r="B161" s="28"/>
      <c r="C161" s="30"/>
      <c r="D161" s="59" t="s">
        <v>427</v>
      </c>
      <c r="E161" s="59"/>
      <c r="F161" s="13"/>
      <c r="G161" s="13">
        <f>2.15*0.55*4</f>
        <v>4.7300000000000004</v>
      </c>
      <c r="H161" s="13">
        <f>2.15*0.55*4</f>
        <v>4.7300000000000004</v>
      </c>
      <c r="I161" s="57">
        <f>2.15*0.55*4</f>
        <v>4.7300000000000004</v>
      </c>
      <c r="J161" s="14" t="s">
        <v>441</v>
      </c>
      <c r="K161" s="99"/>
      <c r="L161" s="13"/>
      <c r="M161" s="13"/>
      <c r="N161" s="13"/>
      <c r="O161" s="13"/>
      <c r="P161" s="13"/>
      <c r="Q161" s="31"/>
    </row>
    <row r="162" spans="1:17" ht="30" outlineLevel="2" x14ac:dyDescent="0.2">
      <c r="A162" s="30"/>
      <c r="B162" s="28"/>
      <c r="C162" s="30"/>
      <c r="D162" s="59" t="s">
        <v>427</v>
      </c>
      <c r="E162" s="59"/>
      <c r="F162" s="13"/>
      <c r="G162" s="13">
        <f>1.07*0.55*8</f>
        <v>4.7080000000000011</v>
      </c>
      <c r="H162" s="13">
        <f>1.07*0.55*8</f>
        <v>4.7080000000000011</v>
      </c>
      <c r="I162" s="57">
        <f>1.07*0.55*8</f>
        <v>4.7080000000000011</v>
      </c>
      <c r="J162" s="14" t="s">
        <v>438</v>
      </c>
      <c r="K162" s="99"/>
      <c r="L162" s="13"/>
      <c r="M162" s="13"/>
      <c r="N162" s="13"/>
      <c r="O162" s="13"/>
      <c r="P162" s="13"/>
      <c r="Q162" s="31"/>
    </row>
    <row r="163" spans="1:17" ht="30" outlineLevel="2" x14ac:dyDescent="0.2">
      <c r="A163" s="30"/>
      <c r="B163" s="28"/>
      <c r="C163" s="30"/>
      <c r="D163" s="59" t="s">
        <v>427</v>
      </c>
      <c r="E163" s="59"/>
      <c r="F163" s="13"/>
      <c r="G163" s="13">
        <f>2.15*1.1*8</f>
        <v>18.920000000000002</v>
      </c>
      <c r="H163" s="13">
        <f>2.15*1.1*8</f>
        <v>18.920000000000002</v>
      </c>
      <c r="I163" s="57">
        <f>2.15*1.1*8</f>
        <v>18.920000000000002</v>
      </c>
      <c r="J163" s="14" t="s">
        <v>439</v>
      </c>
      <c r="K163" s="99"/>
      <c r="L163" s="13"/>
      <c r="M163" s="13"/>
      <c r="N163" s="13"/>
      <c r="O163" s="13"/>
      <c r="P163" s="13"/>
      <c r="Q163" s="31"/>
    </row>
    <row r="164" spans="1:17" ht="30" outlineLevel="2" x14ac:dyDescent="0.2">
      <c r="A164" s="30"/>
      <c r="B164" s="28"/>
      <c r="C164" s="30"/>
      <c r="D164" s="59" t="s">
        <v>427</v>
      </c>
      <c r="E164" s="59"/>
      <c r="F164" s="13"/>
      <c r="G164" s="13">
        <f>2.15*1.1*2</f>
        <v>4.7300000000000004</v>
      </c>
      <c r="H164" s="13">
        <f>2.15*1.1*2</f>
        <v>4.7300000000000004</v>
      </c>
      <c r="I164" s="57">
        <f>2.15*1.1*2</f>
        <v>4.7300000000000004</v>
      </c>
      <c r="J164" s="14" t="s">
        <v>442</v>
      </c>
      <c r="K164" s="99"/>
      <c r="L164" s="13"/>
      <c r="M164" s="13"/>
      <c r="N164" s="13"/>
      <c r="O164" s="13"/>
      <c r="P164" s="13"/>
      <c r="Q164" s="31"/>
    </row>
    <row r="165" spans="1:17" ht="45" outlineLevel="2" x14ac:dyDescent="0.2">
      <c r="A165" s="30"/>
      <c r="B165" s="28"/>
      <c r="C165" s="30"/>
      <c r="D165" s="59" t="s">
        <v>428</v>
      </c>
      <c r="E165" s="59"/>
      <c r="F165" s="13"/>
      <c r="G165" s="13">
        <f>2.15*1.8*8</f>
        <v>30.96</v>
      </c>
      <c r="H165" s="13">
        <f>2.15*1.8*8</f>
        <v>30.96</v>
      </c>
      <c r="I165" s="57">
        <f>2.15*1.8*8</f>
        <v>30.96</v>
      </c>
      <c r="J165" s="14" t="s">
        <v>437</v>
      </c>
      <c r="K165" s="99"/>
      <c r="L165" s="13"/>
      <c r="M165" s="13"/>
      <c r="N165" s="13"/>
      <c r="O165" s="13"/>
      <c r="P165" s="13"/>
      <c r="Q165" s="31"/>
    </row>
    <row r="166" spans="1:17" ht="45" outlineLevel="2" x14ac:dyDescent="0.2">
      <c r="A166" s="30"/>
      <c r="B166" s="28"/>
      <c r="C166" s="30"/>
      <c r="D166" s="59" t="s">
        <v>428</v>
      </c>
      <c r="E166" s="59"/>
      <c r="F166" s="13"/>
      <c r="G166" s="13">
        <f>2.15*0.55*4</f>
        <v>4.7300000000000004</v>
      </c>
      <c r="H166" s="13">
        <f>2.15*0.55*4</f>
        <v>4.7300000000000004</v>
      </c>
      <c r="I166" s="57">
        <f>2.15*0.55*4</f>
        <v>4.7300000000000004</v>
      </c>
      <c r="J166" s="14" t="s">
        <v>443</v>
      </c>
      <c r="K166" s="99"/>
      <c r="L166" s="13"/>
      <c r="M166" s="13"/>
      <c r="N166" s="13"/>
      <c r="O166" s="13"/>
      <c r="P166" s="13"/>
      <c r="Q166" s="31"/>
    </row>
    <row r="167" spans="1:17" ht="30" outlineLevel="2" x14ac:dyDescent="0.2">
      <c r="A167" s="30"/>
      <c r="B167" s="28"/>
      <c r="C167" s="30"/>
      <c r="D167" s="59" t="s">
        <v>428</v>
      </c>
      <c r="E167" s="59"/>
      <c r="F167" s="13"/>
      <c r="G167" s="13">
        <f>1.07*0.55*8</f>
        <v>4.7080000000000011</v>
      </c>
      <c r="H167" s="13">
        <f>1.07*0.55*8</f>
        <v>4.7080000000000011</v>
      </c>
      <c r="I167" s="57">
        <f>1.07*0.55*8</f>
        <v>4.7080000000000011</v>
      </c>
      <c r="J167" s="14" t="s">
        <v>440</v>
      </c>
      <c r="K167" s="99"/>
      <c r="L167" s="13"/>
      <c r="M167" s="13"/>
      <c r="N167" s="13"/>
      <c r="O167" s="13"/>
      <c r="P167" s="13"/>
      <c r="Q167" s="31"/>
    </row>
    <row r="168" spans="1:17" ht="30" outlineLevel="2" x14ac:dyDescent="0.2">
      <c r="A168" s="30"/>
      <c r="B168" s="28"/>
      <c r="C168" s="30"/>
      <c r="D168" s="59" t="s">
        <v>428</v>
      </c>
      <c r="E168" s="59"/>
      <c r="F168" s="13"/>
      <c r="G168" s="13">
        <f>2.15*1.1*8</f>
        <v>18.920000000000002</v>
      </c>
      <c r="H168" s="13">
        <f>2.15*1.1*8</f>
        <v>18.920000000000002</v>
      </c>
      <c r="I168" s="57">
        <f>2.15*1.1*8</f>
        <v>18.920000000000002</v>
      </c>
      <c r="J168" s="14" t="s">
        <v>439</v>
      </c>
      <c r="K168" s="99"/>
      <c r="L168" s="13"/>
      <c r="M168" s="13"/>
      <c r="N168" s="13"/>
      <c r="O168" s="13"/>
      <c r="P168" s="13"/>
      <c r="Q168" s="31"/>
    </row>
    <row r="169" spans="1:17" ht="30" outlineLevel="2" x14ac:dyDescent="0.2">
      <c r="A169" s="30"/>
      <c r="B169" s="28"/>
      <c r="C169" s="30"/>
      <c r="D169" s="59" t="s">
        <v>428</v>
      </c>
      <c r="E169" s="59"/>
      <c r="F169" s="13"/>
      <c r="G169" s="13">
        <f>1.75*1.1*2</f>
        <v>3.8500000000000005</v>
      </c>
      <c r="H169" s="13">
        <f>1.75*1.1*2</f>
        <v>3.8500000000000005</v>
      </c>
      <c r="I169" s="57">
        <f>1.75*1.1*2</f>
        <v>3.8500000000000005</v>
      </c>
      <c r="J169" s="14" t="s">
        <v>444</v>
      </c>
      <c r="K169" s="99"/>
      <c r="L169" s="13"/>
      <c r="M169" s="13"/>
      <c r="N169" s="13"/>
      <c r="O169" s="13"/>
      <c r="P169" s="13"/>
      <c r="Q169" s="31"/>
    </row>
    <row r="170" spans="1:17" ht="45" outlineLevel="2" x14ac:dyDescent="0.2">
      <c r="A170" s="30"/>
      <c r="B170" s="28"/>
      <c r="C170" s="30"/>
      <c r="D170" s="59" t="s">
        <v>408</v>
      </c>
      <c r="E170" s="59"/>
      <c r="F170" s="13"/>
      <c r="G170" s="13">
        <f>2.15*1.8*8</f>
        <v>30.96</v>
      </c>
      <c r="H170" s="13">
        <f>2.15*1.8*8</f>
        <v>30.96</v>
      </c>
      <c r="I170" s="57">
        <f>2.15*1.8*8</f>
        <v>30.96</v>
      </c>
      <c r="J170" s="14" t="s">
        <v>445</v>
      </c>
      <c r="K170" s="99"/>
      <c r="L170" s="13"/>
      <c r="M170" s="13"/>
      <c r="N170" s="13"/>
      <c r="O170" s="13"/>
      <c r="P170" s="13"/>
      <c r="Q170" s="31"/>
    </row>
    <row r="171" spans="1:17" ht="30" outlineLevel="2" x14ac:dyDescent="0.2">
      <c r="A171" s="30"/>
      <c r="B171" s="28"/>
      <c r="C171" s="30"/>
      <c r="D171" s="59" t="s">
        <v>408</v>
      </c>
      <c r="E171" s="59"/>
      <c r="F171" s="13"/>
      <c r="G171" s="13">
        <f>1.07*0.55*8</f>
        <v>4.7080000000000011</v>
      </c>
      <c r="H171" s="13">
        <f>1.07*0.55*8</f>
        <v>4.7080000000000011</v>
      </c>
      <c r="I171" s="57">
        <f>1.07*0.55*8</f>
        <v>4.7080000000000011</v>
      </c>
      <c r="J171" s="14" t="s">
        <v>446</v>
      </c>
      <c r="K171" s="99"/>
      <c r="L171" s="13"/>
      <c r="M171" s="13"/>
      <c r="N171" s="13"/>
      <c r="O171" s="13"/>
      <c r="P171" s="13"/>
      <c r="Q171" s="31"/>
    </row>
    <row r="172" spans="1:17" ht="30" outlineLevel="2" x14ac:dyDescent="0.2">
      <c r="A172" s="30"/>
      <c r="B172" s="28"/>
      <c r="C172" s="30"/>
      <c r="D172" s="59" t="s">
        <v>408</v>
      </c>
      <c r="E172" s="59"/>
      <c r="F172" s="13"/>
      <c r="G172" s="13">
        <f>2.15*1.1*8</f>
        <v>18.920000000000002</v>
      </c>
      <c r="H172" s="13">
        <f>2.15*1.1*8</f>
        <v>18.920000000000002</v>
      </c>
      <c r="I172" s="57">
        <f>2.15*1.1*8</f>
        <v>18.920000000000002</v>
      </c>
      <c r="J172" s="14" t="s">
        <v>447</v>
      </c>
      <c r="K172" s="99"/>
      <c r="L172" s="13"/>
      <c r="M172" s="13"/>
      <c r="N172" s="13"/>
      <c r="O172" s="13"/>
      <c r="P172" s="13"/>
      <c r="Q172" s="31"/>
    </row>
    <row r="173" spans="1:17" ht="45" outlineLevel="2" x14ac:dyDescent="0.2">
      <c r="A173" s="30"/>
      <c r="B173" s="28"/>
      <c r="C173" s="30"/>
      <c r="D173" s="59" t="s">
        <v>409</v>
      </c>
      <c r="E173" s="59"/>
      <c r="F173" s="13"/>
      <c r="G173" s="13">
        <f>0.85*0.4*2</f>
        <v>0.68</v>
      </c>
      <c r="H173" s="13">
        <f>0.85*0.4*2</f>
        <v>0.68</v>
      </c>
      <c r="I173" s="57">
        <f>0.85*0.4*2</f>
        <v>0.68</v>
      </c>
      <c r="J173" s="14" t="s">
        <v>448</v>
      </c>
      <c r="K173" s="99"/>
      <c r="L173" s="13"/>
      <c r="M173" s="13"/>
      <c r="N173" s="13"/>
      <c r="O173" s="13"/>
      <c r="P173" s="13"/>
      <c r="Q173" s="31"/>
    </row>
    <row r="174" spans="1:17" ht="45" outlineLevel="2" x14ac:dyDescent="0.2">
      <c r="A174" s="30"/>
      <c r="B174" s="28"/>
      <c r="C174" s="30"/>
      <c r="D174" s="59" t="s">
        <v>409</v>
      </c>
      <c r="E174" s="59"/>
      <c r="F174" s="13"/>
      <c r="G174" s="13">
        <f>2.44*0.4*2</f>
        <v>1.952</v>
      </c>
      <c r="H174" s="13">
        <f>2.44*0.4*2</f>
        <v>1.952</v>
      </c>
      <c r="I174" s="57">
        <f>2.44*0.4*2</f>
        <v>1.952</v>
      </c>
      <c r="J174" s="14" t="s">
        <v>449</v>
      </c>
      <c r="K174" s="99"/>
      <c r="L174" s="13"/>
      <c r="M174" s="13"/>
      <c r="N174" s="13"/>
      <c r="O174" s="13"/>
      <c r="P174" s="13"/>
      <c r="Q174" s="31"/>
    </row>
    <row r="175" spans="1:17" ht="30" outlineLevel="2" x14ac:dyDescent="0.2">
      <c r="A175" s="30"/>
      <c r="B175" s="28"/>
      <c r="C175" s="30"/>
      <c r="D175" s="59" t="s">
        <v>409</v>
      </c>
      <c r="E175" s="59"/>
      <c r="F175" s="13"/>
      <c r="G175" s="13">
        <f>4.82*0.4*2</f>
        <v>3.8560000000000003</v>
      </c>
      <c r="H175" s="13">
        <f>4.82*0.4*2</f>
        <v>3.8560000000000003</v>
      </c>
      <c r="I175" s="57">
        <f>4.82*0.4*2</f>
        <v>3.8560000000000003</v>
      </c>
      <c r="J175" s="14" t="s">
        <v>631</v>
      </c>
      <c r="K175" s="100"/>
      <c r="L175" s="13"/>
      <c r="M175" s="13"/>
      <c r="N175" s="13"/>
      <c r="O175" s="13"/>
      <c r="P175" s="13"/>
      <c r="Q175" s="31"/>
    </row>
    <row r="176" spans="1:17" ht="15.75" outlineLevel="2" x14ac:dyDescent="0.2">
      <c r="A176" s="30"/>
      <c r="B176" s="28"/>
      <c r="C176" s="30"/>
      <c r="D176" s="37"/>
      <c r="E176" s="67"/>
      <c r="F176" s="13"/>
      <c r="G176" s="13"/>
      <c r="H176" s="13"/>
      <c r="I176" s="57"/>
      <c r="J176" s="13"/>
      <c r="K176" s="13"/>
      <c r="L176" s="13"/>
      <c r="M176" s="13"/>
      <c r="N176" s="13"/>
      <c r="O176" s="13"/>
      <c r="P176" s="13"/>
      <c r="Q176" s="31"/>
    </row>
    <row r="177" spans="1:17" ht="15.75" outlineLevel="2" x14ac:dyDescent="0.2">
      <c r="A177" s="30"/>
      <c r="B177" s="28"/>
      <c r="C177" s="30"/>
      <c r="D177" s="37" t="s">
        <v>652</v>
      </c>
      <c r="E177" s="67" t="s">
        <v>633</v>
      </c>
      <c r="F177" s="13"/>
      <c r="G177" s="13"/>
      <c r="H177" s="13"/>
      <c r="I177" s="57">
        <f>SUM(I178:I200)</f>
        <v>156.29499999999999</v>
      </c>
      <c r="J177" s="13"/>
      <c r="K177" s="13"/>
      <c r="L177" s="13"/>
      <c r="M177" s="13"/>
      <c r="N177" s="13"/>
      <c r="O177" s="13"/>
      <c r="P177" s="13"/>
      <c r="Q177" s="31"/>
    </row>
    <row r="178" spans="1:17" ht="30" outlineLevel="2" x14ac:dyDescent="0.2">
      <c r="A178" s="30"/>
      <c r="B178" s="28"/>
      <c r="C178" s="30"/>
      <c r="D178" s="59" t="s">
        <v>403</v>
      </c>
      <c r="E178" s="67"/>
      <c r="F178" s="13"/>
      <c r="G178" s="13">
        <f>0.8*2.1*2</f>
        <v>3.3600000000000003</v>
      </c>
      <c r="H178" s="13">
        <f>0.8*2.1*2</f>
        <v>3.3600000000000003</v>
      </c>
      <c r="I178" s="57">
        <f>0.8*2.1*2</f>
        <v>3.3600000000000003</v>
      </c>
      <c r="J178" s="14" t="s">
        <v>453</v>
      </c>
      <c r="K178" s="44"/>
      <c r="L178" s="13"/>
      <c r="M178" s="13"/>
      <c r="N178" s="13"/>
      <c r="O178" s="13"/>
      <c r="P178" s="13"/>
      <c r="Q178" s="31"/>
    </row>
    <row r="179" spans="1:17" ht="30" outlineLevel="2" x14ac:dyDescent="0.2">
      <c r="A179" s="30"/>
      <c r="B179" s="28"/>
      <c r="C179" s="30"/>
      <c r="D179" s="59" t="s">
        <v>403</v>
      </c>
      <c r="E179" s="67"/>
      <c r="F179" s="13"/>
      <c r="G179" s="13">
        <f>0.9*2.1*5</f>
        <v>9.4500000000000011</v>
      </c>
      <c r="H179" s="13">
        <f>0.9*2.1*5</f>
        <v>9.4500000000000011</v>
      </c>
      <c r="I179" s="57">
        <f>0.9*2.1*5</f>
        <v>9.4500000000000011</v>
      </c>
      <c r="J179" s="14" t="s">
        <v>454</v>
      </c>
      <c r="K179" s="45"/>
      <c r="L179" s="13"/>
      <c r="M179" s="13"/>
      <c r="N179" s="13"/>
      <c r="O179" s="13"/>
      <c r="P179" s="13"/>
      <c r="Q179" s="31"/>
    </row>
    <row r="180" spans="1:17" ht="30" outlineLevel="2" x14ac:dyDescent="0.2">
      <c r="A180" s="30"/>
      <c r="B180" s="28"/>
      <c r="C180" s="30"/>
      <c r="D180" s="59" t="s">
        <v>403</v>
      </c>
      <c r="E180" s="67"/>
      <c r="F180" s="13"/>
      <c r="G180" s="13">
        <f>2.05*2.1*1</f>
        <v>4.3049999999999997</v>
      </c>
      <c r="H180" s="13">
        <f>2.05*2.1*1</f>
        <v>4.3049999999999997</v>
      </c>
      <c r="I180" s="57">
        <f>2.05*2.1*1</f>
        <v>4.3049999999999997</v>
      </c>
      <c r="J180" s="14" t="s">
        <v>455</v>
      </c>
      <c r="K180" s="45"/>
      <c r="L180" s="13"/>
      <c r="M180" s="13"/>
      <c r="N180" s="13"/>
      <c r="O180" s="13"/>
      <c r="P180" s="13"/>
      <c r="Q180" s="31"/>
    </row>
    <row r="181" spans="1:17" ht="30" outlineLevel="2" x14ac:dyDescent="0.2">
      <c r="A181" s="30"/>
      <c r="B181" s="28"/>
      <c r="C181" s="30"/>
      <c r="D181" s="59" t="s">
        <v>403</v>
      </c>
      <c r="E181" s="67"/>
      <c r="F181" s="13"/>
      <c r="G181" s="13">
        <f>2.75*2.1*2</f>
        <v>11.55</v>
      </c>
      <c r="H181" s="13">
        <f>2.75*2.1*2</f>
        <v>11.55</v>
      </c>
      <c r="I181" s="57">
        <f>2.75*2.1*2</f>
        <v>11.55</v>
      </c>
      <c r="J181" s="14" t="s">
        <v>456</v>
      </c>
      <c r="K181" s="45"/>
      <c r="L181" s="13"/>
      <c r="M181" s="13"/>
      <c r="N181" s="13"/>
      <c r="O181" s="13"/>
      <c r="P181" s="13"/>
      <c r="Q181" s="31"/>
    </row>
    <row r="182" spans="1:17" ht="30" outlineLevel="2" x14ac:dyDescent="0.2">
      <c r="A182" s="30"/>
      <c r="B182" s="28"/>
      <c r="C182" s="30"/>
      <c r="D182" s="59" t="s">
        <v>404</v>
      </c>
      <c r="E182" s="67"/>
      <c r="F182" s="13"/>
      <c r="G182" s="13">
        <f>1.075*2.1*3</f>
        <v>6.7724999999999991</v>
      </c>
      <c r="H182" s="13">
        <f>1.075*2.1*3</f>
        <v>6.7724999999999991</v>
      </c>
      <c r="I182" s="57">
        <f>1.075*2.1*3</f>
        <v>6.7724999999999991</v>
      </c>
      <c r="J182" s="14" t="s">
        <v>457</v>
      </c>
      <c r="K182" s="45"/>
      <c r="L182" s="13"/>
      <c r="M182" s="13"/>
      <c r="N182" s="13"/>
      <c r="O182" s="13"/>
      <c r="P182" s="13"/>
      <c r="Q182" s="31"/>
    </row>
    <row r="183" spans="1:17" ht="30" outlineLevel="2" x14ac:dyDescent="0.2">
      <c r="A183" s="30"/>
      <c r="B183" s="28"/>
      <c r="C183" s="30"/>
      <c r="D183" s="59" t="s">
        <v>404</v>
      </c>
      <c r="E183" s="67"/>
      <c r="F183" s="13"/>
      <c r="G183" s="13">
        <f>5*2.7*1</f>
        <v>13.5</v>
      </c>
      <c r="H183" s="13">
        <f>5*2.7*1</f>
        <v>13.5</v>
      </c>
      <c r="I183" s="57">
        <f>5*2.7*1</f>
        <v>13.5</v>
      </c>
      <c r="J183" s="14" t="s">
        <v>460</v>
      </c>
      <c r="K183" s="45"/>
      <c r="L183" s="13"/>
      <c r="M183" s="13"/>
      <c r="N183" s="13"/>
      <c r="O183" s="13"/>
      <c r="P183" s="13"/>
      <c r="Q183" s="31"/>
    </row>
    <row r="184" spans="1:17" ht="30" outlineLevel="2" x14ac:dyDescent="0.2">
      <c r="A184" s="30"/>
      <c r="B184" s="28"/>
      <c r="C184" s="30"/>
      <c r="D184" s="59" t="s">
        <v>404</v>
      </c>
      <c r="E184" s="67"/>
      <c r="F184" s="13"/>
      <c r="G184" s="13">
        <f>2.15*2.7*1</f>
        <v>5.8049999999999997</v>
      </c>
      <c r="H184" s="13">
        <f>2.15*2.7*1</f>
        <v>5.8049999999999997</v>
      </c>
      <c r="I184" s="57">
        <f>2.15*2.7*1</f>
        <v>5.8049999999999997</v>
      </c>
      <c r="J184" s="14" t="s">
        <v>459</v>
      </c>
      <c r="K184" s="45"/>
      <c r="L184" s="13"/>
      <c r="M184" s="13"/>
      <c r="N184" s="13"/>
      <c r="O184" s="13"/>
      <c r="P184" s="13"/>
      <c r="Q184" s="31"/>
    </row>
    <row r="185" spans="1:17" ht="30" outlineLevel="2" x14ac:dyDescent="0.2">
      <c r="A185" s="30"/>
      <c r="B185" s="28"/>
      <c r="C185" s="30"/>
      <c r="D185" s="59" t="s">
        <v>405</v>
      </c>
      <c r="E185" s="67"/>
      <c r="F185" s="13"/>
      <c r="G185" s="13">
        <f>1.075*2.1*3</f>
        <v>6.7724999999999991</v>
      </c>
      <c r="H185" s="13">
        <f>1.075*2.1*3</f>
        <v>6.7724999999999991</v>
      </c>
      <c r="I185" s="57">
        <f>1.075*2.1*3</f>
        <v>6.7724999999999991</v>
      </c>
      <c r="J185" s="14" t="s">
        <v>458</v>
      </c>
      <c r="K185" s="45"/>
      <c r="L185" s="13"/>
      <c r="M185" s="13"/>
      <c r="N185" s="13"/>
      <c r="O185" s="13"/>
      <c r="P185" s="13"/>
      <c r="Q185" s="31"/>
    </row>
    <row r="186" spans="1:17" ht="30" outlineLevel="2" x14ac:dyDescent="0.2">
      <c r="A186" s="30"/>
      <c r="B186" s="28"/>
      <c r="C186" s="30"/>
      <c r="D186" s="59" t="s">
        <v>405</v>
      </c>
      <c r="E186" s="67"/>
      <c r="F186" s="13"/>
      <c r="G186" s="13">
        <f>2.15*2.7*1</f>
        <v>5.8049999999999997</v>
      </c>
      <c r="H186" s="13">
        <f>2.15*2.7*1</f>
        <v>5.8049999999999997</v>
      </c>
      <c r="I186" s="57">
        <f>2.15*2.1*1</f>
        <v>4.5149999999999997</v>
      </c>
      <c r="J186" s="14" t="s">
        <v>690</v>
      </c>
      <c r="K186" s="45"/>
      <c r="L186" s="13"/>
      <c r="M186" s="13"/>
      <c r="N186" s="13"/>
      <c r="O186" s="13"/>
      <c r="P186" s="13"/>
      <c r="Q186" s="31"/>
    </row>
    <row r="187" spans="1:17" ht="30" outlineLevel="2" x14ac:dyDescent="0.2">
      <c r="A187" s="30"/>
      <c r="B187" s="28"/>
      <c r="C187" s="30"/>
      <c r="D187" s="59" t="s">
        <v>406</v>
      </c>
      <c r="E187" s="67"/>
      <c r="F187" s="13"/>
      <c r="G187" s="13">
        <f>0.9*2.1*5</f>
        <v>9.4500000000000011</v>
      </c>
      <c r="H187" s="13">
        <f>0.9*2.1*5</f>
        <v>9.4500000000000011</v>
      </c>
      <c r="I187" s="57">
        <f>0.9*2.1*5</f>
        <v>9.4500000000000011</v>
      </c>
      <c r="J187" s="14" t="s">
        <v>461</v>
      </c>
      <c r="K187" s="45"/>
      <c r="L187" s="13"/>
      <c r="M187" s="13"/>
      <c r="N187" s="13"/>
      <c r="O187" s="13"/>
      <c r="P187" s="13"/>
      <c r="Q187" s="31"/>
    </row>
    <row r="188" spans="1:17" ht="30" outlineLevel="2" x14ac:dyDescent="0.2">
      <c r="A188" s="30"/>
      <c r="B188" s="28"/>
      <c r="C188" s="30"/>
      <c r="D188" s="59" t="s">
        <v>406</v>
      </c>
      <c r="E188" s="67"/>
      <c r="F188" s="13"/>
      <c r="G188" s="13">
        <f>0.7*2.1*3</f>
        <v>4.41</v>
      </c>
      <c r="H188" s="13">
        <f>0.7*2.1*3</f>
        <v>4.41</v>
      </c>
      <c r="I188" s="57">
        <f>0.7*2.1*3</f>
        <v>4.41</v>
      </c>
      <c r="J188" s="14" t="s">
        <v>462</v>
      </c>
      <c r="K188" s="45"/>
      <c r="L188" s="13"/>
      <c r="M188" s="13"/>
      <c r="N188" s="13"/>
      <c r="O188" s="13"/>
      <c r="P188" s="13"/>
      <c r="Q188" s="31"/>
    </row>
    <row r="189" spans="1:17" ht="45" outlineLevel="2" x14ac:dyDescent="0.2">
      <c r="A189" s="30"/>
      <c r="B189" s="28"/>
      <c r="C189" s="30"/>
      <c r="D189" s="59" t="s">
        <v>406</v>
      </c>
      <c r="E189" s="67"/>
      <c r="F189" s="13"/>
      <c r="G189" s="13">
        <f>2.4*2*1</f>
        <v>4.8</v>
      </c>
      <c r="H189" s="13">
        <f>2.4*2*1</f>
        <v>4.8</v>
      </c>
      <c r="I189" s="57">
        <f>2.4*2*1</f>
        <v>4.8</v>
      </c>
      <c r="J189" s="14" t="s">
        <v>464</v>
      </c>
      <c r="K189" s="46" t="s">
        <v>773</v>
      </c>
      <c r="L189" s="13"/>
      <c r="M189" s="13"/>
      <c r="N189" s="13"/>
      <c r="O189" s="13"/>
      <c r="P189" s="13"/>
      <c r="Q189" s="31"/>
    </row>
    <row r="190" spans="1:17" ht="30" outlineLevel="2" x14ac:dyDescent="0.2">
      <c r="A190" s="30"/>
      <c r="B190" s="28"/>
      <c r="C190" s="30"/>
      <c r="D190" s="59" t="s">
        <v>406</v>
      </c>
      <c r="E190" s="67"/>
      <c r="F190" s="13"/>
      <c r="G190" s="13">
        <f>0.9*2.1*1</f>
        <v>1.8900000000000001</v>
      </c>
      <c r="H190" s="13">
        <f>0.9*2.1*1</f>
        <v>1.8900000000000001</v>
      </c>
      <c r="I190" s="57">
        <f>0.9*2.1*1</f>
        <v>1.8900000000000001</v>
      </c>
      <c r="J190" s="14" t="s">
        <v>463</v>
      </c>
      <c r="K190" s="45"/>
      <c r="L190" s="13"/>
      <c r="M190" s="13"/>
      <c r="N190" s="13"/>
      <c r="O190" s="13"/>
      <c r="P190" s="13"/>
      <c r="Q190" s="31"/>
    </row>
    <row r="191" spans="1:17" ht="30" outlineLevel="2" x14ac:dyDescent="0.2">
      <c r="A191" s="30"/>
      <c r="B191" s="28"/>
      <c r="C191" s="30"/>
      <c r="D191" s="59" t="s">
        <v>407</v>
      </c>
      <c r="E191" s="67"/>
      <c r="F191" s="13"/>
      <c r="G191" s="13">
        <f>1.075*2.1*8</f>
        <v>18.059999999999999</v>
      </c>
      <c r="H191" s="13">
        <f>1.075*2.1*8</f>
        <v>18.059999999999999</v>
      </c>
      <c r="I191" s="57">
        <f>1.075*2.1*8</f>
        <v>18.059999999999999</v>
      </c>
      <c r="J191" s="14" t="s">
        <v>515</v>
      </c>
      <c r="K191" s="45"/>
      <c r="L191" s="13"/>
      <c r="M191" s="13"/>
      <c r="N191" s="13"/>
      <c r="O191" s="13"/>
      <c r="P191" s="13"/>
      <c r="Q191" s="31"/>
    </row>
    <row r="192" spans="1:17" ht="30" outlineLevel="2" x14ac:dyDescent="0.2">
      <c r="A192" s="30"/>
      <c r="B192" s="28"/>
      <c r="C192" s="30"/>
      <c r="D192" s="59" t="s">
        <v>407</v>
      </c>
      <c r="E192" s="67"/>
      <c r="F192" s="13"/>
      <c r="G192" s="13">
        <f>0.6*1.8*4</f>
        <v>4.32</v>
      </c>
      <c r="H192" s="13">
        <f>0.6*1.8*4</f>
        <v>4.32</v>
      </c>
      <c r="I192" s="57">
        <f>0.6*1.8*4</f>
        <v>4.32</v>
      </c>
      <c r="J192" s="14" t="s">
        <v>516</v>
      </c>
      <c r="K192" s="45"/>
      <c r="L192" s="13"/>
      <c r="M192" s="13"/>
      <c r="N192" s="13"/>
      <c r="O192" s="13"/>
      <c r="P192" s="13"/>
      <c r="Q192" s="31"/>
    </row>
    <row r="193" spans="1:17" ht="30" outlineLevel="2" x14ac:dyDescent="0.2">
      <c r="A193" s="30"/>
      <c r="B193" s="28"/>
      <c r="C193" s="30"/>
      <c r="D193" s="59" t="s">
        <v>407</v>
      </c>
      <c r="E193" s="67"/>
      <c r="F193" s="13"/>
      <c r="G193" s="13">
        <f>0.8*1.8*2</f>
        <v>2.8800000000000003</v>
      </c>
      <c r="H193" s="13">
        <f>0.8*1.8*2</f>
        <v>2.8800000000000003</v>
      </c>
      <c r="I193" s="57">
        <f>0.8*1.8*2</f>
        <v>2.8800000000000003</v>
      </c>
      <c r="J193" s="14" t="s">
        <v>637</v>
      </c>
      <c r="K193" s="45"/>
      <c r="L193" s="13"/>
      <c r="M193" s="13"/>
      <c r="N193" s="13"/>
      <c r="O193" s="13"/>
      <c r="P193" s="13"/>
      <c r="Q193" s="31"/>
    </row>
    <row r="194" spans="1:17" ht="30" outlineLevel="2" x14ac:dyDescent="0.2">
      <c r="A194" s="30"/>
      <c r="B194" s="28"/>
      <c r="C194" s="30"/>
      <c r="D194" s="59" t="s">
        <v>407</v>
      </c>
      <c r="E194" s="67"/>
      <c r="F194" s="13"/>
      <c r="G194" s="13">
        <f>0.9*2.1*2</f>
        <v>3.7800000000000002</v>
      </c>
      <c r="H194" s="13">
        <f>0.9*2.1*2</f>
        <v>3.7800000000000002</v>
      </c>
      <c r="I194" s="57">
        <f>0.9*2.1*2</f>
        <v>3.7800000000000002</v>
      </c>
      <c r="J194" s="14" t="s">
        <v>517</v>
      </c>
      <c r="K194" s="45"/>
      <c r="L194" s="13"/>
      <c r="M194" s="13"/>
      <c r="N194" s="13"/>
      <c r="O194" s="13"/>
      <c r="P194" s="13"/>
      <c r="Q194" s="31"/>
    </row>
    <row r="195" spans="1:17" ht="45" outlineLevel="2" x14ac:dyDescent="0.2">
      <c r="A195" s="30"/>
      <c r="B195" s="28"/>
      <c r="C195" s="30"/>
      <c r="D195" s="59" t="s">
        <v>407</v>
      </c>
      <c r="E195" s="67"/>
      <c r="F195" s="13"/>
      <c r="G195" s="13">
        <f>0.7*2.05*1</f>
        <v>1.4349999999999998</v>
      </c>
      <c r="H195" s="13">
        <f>0.7*2.05*1</f>
        <v>1.4349999999999998</v>
      </c>
      <c r="I195" s="57">
        <f>0.7*2.05*1</f>
        <v>1.4349999999999998</v>
      </c>
      <c r="J195" s="14" t="s">
        <v>518</v>
      </c>
      <c r="K195" s="45"/>
      <c r="L195" s="13"/>
      <c r="M195" s="13"/>
      <c r="N195" s="13"/>
      <c r="O195" s="13"/>
      <c r="P195" s="13"/>
      <c r="Q195" s="31"/>
    </row>
    <row r="196" spans="1:17" ht="30" outlineLevel="2" x14ac:dyDescent="0.2">
      <c r="A196" s="30"/>
      <c r="B196" s="28"/>
      <c r="C196" s="30"/>
      <c r="D196" s="59" t="s">
        <v>408</v>
      </c>
      <c r="E196" s="67"/>
      <c r="F196" s="13"/>
      <c r="G196" s="13">
        <f>1.075*2.1*8</f>
        <v>18.059999999999999</v>
      </c>
      <c r="H196" s="13">
        <f>1.075*2.1*8</f>
        <v>18.059999999999999</v>
      </c>
      <c r="I196" s="57">
        <f>1.075*2.1*8</f>
        <v>18.059999999999999</v>
      </c>
      <c r="J196" s="14" t="s">
        <v>519</v>
      </c>
      <c r="K196" s="45"/>
      <c r="L196" s="13"/>
      <c r="M196" s="13"/>
      <c r="N196" s="13"/>
      <c r="O196" s="13"/>
      <c r="P196" s="13"/>
      <c r="Q196" s="31"/>
    </row>
    <row r="197" spans="1:17" ht="30" outlineLevel="2" x14ac:dyDescent="0.2">
      <c r="A197" s="30"/>
      <c r="B197" s="28"/>
      <c r="C197" s="30"/>
      <c r="D197" s="59" t="s">
        <v>409</v>
      </c>
      <c r="E197" s="67"/>
      <c r="F197" s="13"/>
      <c r="G197" s="13">
        <f>0.6*1.8*8</f>
        <v>8.64</v>
      </c>
      <c r="H197" s="13">
        <f>0.6*1.8*8</f>
        <v>8.64</v>
      </c>
      <c r="I197" s="57">
        <f>0.6*1.8*8</f>
        <v>8.64</v>
      </c>
      <c r="J197" s="14" t="s">
        <v>520</v>
      </c>
      <c r="K197" s="45"/>
      <c r="L197" s="13"/>
      <c r="M197" s="13"/>
      <c r="N197" s="13"/>
      <c r="O197" s="13"/>
      <c r="P197" s="13"/>
      <c r="Q197" s="31"/>
    </row>
    <row r="198" spans="1:17" ht="30" outlineLevel="2" x14ac:dyDescent="0.2">
      <c r="A198" s="30"/>
      <c r="B198" s="28"/>
      <c r="C198" s="30"/>
      <c r="D198" s="59" t="s">
        <v>409</v>
      </c>
      <c r="E198" s="67"/>
      <c r="F198" s="13"/>
      <c r="G198" s="13">
        <f>0.8*1.8*2</f>
        <v>2.8800000000000003</v>
      </c>
      <c r="H198" s="13">
        <f>0.8*1.8*2</f>
        <v>2.8800000000000003</v>
      </c>
      <c r="I198" s="57">
        <f>0.8*1.8*2</f>
        <v>2.8800000000000003</v>
      </c>
      <c r="J198" s="14" t="s">
        <v>638</v>
      </c>
      <c r="K198" s="45"/>
      <c r="L198" s="13"/>
      <c r="M198" s="13"/>
      <c r="N198" s="13"/>
      <c r="O198" s="13"/>
      <c r="P198" s="13"/>
      <c r="Q198" s="31"/>
    </row>
    <row r="199" spans="1:17" ht="30" outlineLevel="2" x14ac:dyDescent="0.2">
      <c r="A199" s="30"/>
      <c r="B199" s="28"/>
      <c r="C199" s="30"/>
      <c r="D199" s="59" t="s">
        <v>409</v>
      </c>
      <c r="E199" s="67"/>
      <c r="F199" s="13"/>
      <c r="G199" s="13">
        <f>0.9*2.1*2</f>
        <v>3.7800000000000002</v>
      </c>
      <c r="H199" s="13">
        <f>0.9*2.1*2</f>
        <v>3.7800000000000002</v>
      </c>
      <c r="I199" s="57">
        <f>0.9*2.1*2</f>
        <v>3.7800000000000002</v>
      </c>
      <c r="J199" s="14" t="s">
        <v>521</v>
      </c>
      <c r="K199" s="45"/>
      <c r="L199" s="13"/>
      <c r="M199" s="13"/>
      <c r="N199" s="13"/>
      <c r="O199" s="13"/>
      <c r="P199" s="13"/>
      <c r="Q199" s="31"/>
    </row>
    <row r="200" spans="1:17" ht="30" outlineLevel="2" x14ac:dyDescent="0.2">
      <c r="A200" s="30"/>
      <c r="B200" s="28"/>
      <c r="C200" s="30"/>
      <c r="D200" s="59" t="s">
        <v>409</v>
      </c>
      <c r="E200" s="67"/>
      <c r="F200" s="13"/>
      <c r="G200" s="13">
        <f>1.4*2.1*2</f>
        <v>5.88</v>
      </c>
      <c r="H200" s="13">
        <f>1.4*2.1*2</f>
        <v>5.88</v>
      </c>
      <c r="I200" s="57">
        <f>1.4*2.1*2</f>
        <v>5.88</v>
      </c>
      <c r="J200" s="14" t="s">
        <v>522</v>
      </c>
      <c r="K200" s="47"/>
      <c r="L200" s="13"/>
      <c r="M200" s="13"/>
      <c r="N200" s="13"/>
      <c r="O200" s="13"/>
      <c r="P200" s="13"/>
      <c r="Q200" s="31"/>
    </row>
    <row r="201" spans="1:17" ht="15" outlineLevel="2" x14ac:dyDescent="0.2">
      <c r="A201" s="30"/>
      <c r="B201" s="28"/>
      <c r="C201" s="30"/>
      <c r="D201" s="59"/>
      <c r="E201" s="67"/>
      <c r="F201" s="13"/>
      <c r="G201" s="13"/>
      <c r="H201" s="13"/>
      <c r="I201" s="57"/>
      <c r="J201" s="13"/>
      <c r="K201" s="13"/>
      <c r="L201" s="13"/>
      <c r="M201" s="13"/>
      <c r="N201" s="13"/>
      <c r="O201" s="13"/>
      <c r="P201" s="13"/>
      <c r="Q201" s="31"/>
    </row>
    <row r="202" spans="1:17" ht="15" outlineLevel="2" x14ac:dyDescent="0.2">
      <c r="A202" s="30"/>
      <c r="B202" s="28"/>
      <c r="C202" s="30"/>
      <c r="D202" s="59"/>
      <c r="E202" s="67"/>
      <c r="F202" s="13"/>
      <c r="G202" s="13"/>
      <c r="H202" s="13"/>
      <c r="I202" s="57"/>
      <c r="J202" s="13"/>
      <c r="K202" s="13"/>
      <c r="L202" s="13"/>
      <c r="M202" s="13"/>
      <c r="N202" s="13"/>
      <c r="O202" s="13"/>
      <c r="P202" s="13"/>
      <c r="Q202" s="31"/>
    </row>
    <row r="203" spans="1:17" ht="31.5" outlineLevel="2" x14ac:dyDescent="0.25">
      <c r="A203" s="30"/>
      <c r="B203" s="28"/>
      <c r="C203" s="30"/>
      <c r="D203" s="37" t="s">
        <v>629</v>
      </c>
      <c r="E203" s="67" t="s">
        <v>632</v>
      </c>
      <c r="F203" s="13"/>
      <c r="G203" s="13"/>
      <c r="H203" s="13"/>
      <c r="I203" s="57">
        <f>9.45+4.41+4.8+1.89+1.71+1.49+2.94+2.38+0.49+0.57+1.94</f>
        <v>32.07</v>
      </c>
      <c r="J203" s="35" t="s">
        <v>622</v>
      </c>
      <c r="K203" s="13"/>
      <c r="L203" s="13"/>
      <c r="M203" s="13"/>
      <c r="N203" s="13"/>
      <c r="O203" s="13"/>
      <c r="P203" s="13"/>
      <c r="Q203" s="31"/>
    </row>
    <row r="204" spans="1:17" ht="30" outlineLevel="2" x14ac:dyDescent="0.2">
      <c r="A204" s="30"/>
      <c r="B204" s="28"/>
      <c r="C204" s="30"/>
      <c r="D204" s="59"/>
      <c r="E204" s="67"/>
      <c r="F204" s="13"/>
      <c r="G204" s="13"/>
      <c r="H204" s="13"/>
      <c r="I204" s="57"/>
      <c r="J204" s="14" t="s">
        <v>461</v>
      </c>
      <c r="K204" s="94" t="s">
        <v>719</v>
      </c>
      <c r="L204" s="13"/>
      <c r="M204" s="13"/>
      <c r="N204" s="13"/>
      <c r="O204" s="13"/>
      <c r="P204" s="13"/>
      <c r="Q204" s="31"/>
    </row>
    <row r="205" spans="1:17" ht="30" outlineLevel="2" x14ac:dyDescent="0.2">
      <c r="A205" s="30"/>
      <c r="B205" s="28"/>
      <c r="C205" s="30"/>
      <c r="D205" s="59"/>
      <c r="E205" s="67"/>
      <c r="F205" s="13"/>
      <c r="G205" s="13"/>
      <c r="H205" s="13"/>
      <c r="I205" s="57"/>
      <c r="J205" s="14" t="s">
        <v>462</v>
      </c>
      <c r="K205" s="95"/>
      <c r="L205" s="13"/>
      <c r="M205" s="13"/>
      <c r="N205" s="13"/>
      <c r="O205" s="13"/>
      <c r="P205" s="13"/>
      <c r="Q205" s="31"/>
    </row>
    <row r="206" spans="1:17" ht="45" outlineLevel="2" x14ac:dyDescent="0.2">
      <c r="A206" s="30"/>
      <c r="B206" s="28"/>
      <c r="C206" s="30"/>
      <c r="D206" s="59"/>
      <c r="E206" s="67"/>
      <c r="F206" s="13"/>
      <c r="G206" s="13"/>
      <c r="H206" s="13"/>
      <c r="I206" s="57"/>
      <c r="J206" s="14" t="s">
        <v>464</v>
      </c>
      <c r="K206" s="95"/>
      <c r="L206" s="13"/>
      <c r="M206" s="13"/>
      <c r="N206" s="13"/>
      <c r="O206" s="13"/>
      <c r="P206" s="13"/>
      <c r="Q206" s="31"/>
    </row>
    <row r="207" spans="1:17" ht="30" outlineLevel="2" x14ac:dyDescent="0.2">
      <c r="A207" s="30"/>
      <c r="B207" s="28"/>
      <c r="C207" s="30"/>
      <c r="D207" s="59"/>
      <c r="E207" s="67"/>
      <c r="F207" s="13"/>
      <c r="G207" s="13"/>
      <c r="H207" s="13"/>
      <c r="I207" s="57"/>
      <c r="J207" s="14" t="s">
        <v>463</v>
      </c>
      <c r="K207" s="95"/>
      <c r="L207" s="13"/>
      <c r="M207" s="13"/>
      <c r="N207" s="13"/>
      <c r="O207" s="13"/>
      <c r="P207" s="13"/>
      <c r="Q207" s="31"/>
    </row>
    <row r="208" spans="1:17" ht="15" outlineLevel="2" x14ac:dyDescent="0.2">
      <c r="A208" s="30"/>
      <c r="B208" s="28"/>
      <c r="C208" s="30"/>
      <c r="D208" s="59"/>
      <c r="E208" s="67"/>
      <c r="F208" s="13"/>
      <c r="G208" s="13"/>
      <c r="H208" s="13"/>
      <c r="I208" s="57"/>
      <c r="J208" s="13"/>
      <c r="K208" s="95"/>
      <c r="L208" s="13"/>
      <c r="M208" s="13"/>
      <c r="N208" s="13"/>
      <c r="O208" s="13"/>
      <c r="P208" s="13"/>
      <c r="Q208" s="31"/>
    </row>
    <row r="209" spans="1:17" ht="15.75" outlineLevel="2" x14ac:dyDescent="0.25">
      <c r="A209" s="30"/>
      <c r="B209" s="28"/>
      <c r="C209" s="30"/>
      <c r="D209" s="59"/>
      <c r="E209" s="67"/>
      <c r="F209" s="13"/>
      <c r="G209" s="13"/>
      <c r="H209" s="13"/>
      <c r="I209" s="57"/>
      <c r="J209" s="35" t="s">
        <v>630</v>
      </c>
      <c r="K209" s="95"/>
      <c r="L209" s="13"/>
      <c r="M209" s="13"/>
      <c r="N209" s="13"/>
      <c r="O209" s="13"/>
      <c r="P209" s="13"/>
      <c r="Q209" s="31"/>
    </row>
    <row r="210" spans="1:17" ht="30" outlineLevel="2" x14ac:dyDescent="0.2">
      <c r="A210" s="30"/>
      <c r="B210" s="28"/>
      <c r="C210" s="30"/>
      <c r="D210" s="59"/>
      <c r="E210" s="67"/>
      <c r="F210" s="13"/>
      <c r="G210" s="13"/>
      <c r="H210" s="13"/>
      <c r="I210" s="57"/>
      <c r="J210" s="14" t="s">
        <v>430</v>
      </c>
      <c r="K210" s="95"/>
      <c r="L210" s="13"/>
      <c r="M210" s="13"/>
      <c r="N210" s="13"/>
      <c r="O210" s="13"/>
      <c r="P210" s="13"/>
      <c r="Q210" s="31"/>
    </row>
    <row r="211" spans="1:17" ht="30" outlineLevel="2" x14ac:dyDescent="0.2">
      <c r="A211" s="30"/>
      <c r="B211" s="28"/>
      <c r="C211" s="30"/>
      <c r="D211" s="59"/>
      <c r="E211" s="67"/>
      <c r="F211" s="13"/>
      <c r="G211" s="13"/>
      <c r="H211" s="13"/>
      <c r="I211" s="57"/>
      <c r="J211" s="14" t="s">
        <v>431</v>
      </c>
      <c r="K211" s="95"/>
      <c r="L211" s="13"/>
      <c r="M211" s="13"/>
      <c r="N211" s="13"/>
      <c r="O211" s="13"/>
      <c r="P211" s="13"/>
      <c r="Q211" s="31"/>
    </row>
    <row r="212" spans="1:17" ht="30" outlineLevel="2" x14ac:dyDescent="0.2">
      <c r="A212" s="30"/>
      <c r="B212" s="28"/>
      <c r="C212" s="30"/>
      <c r="D212" s="59"/>
      <c r="E212" s="67"/>
      <c r="F212" s="13"/>
      <c r="G212" s="13"/>
      <c r="H212" s="13"/>
      <c r="I212" s="57"/>
      <c r="J212" s="14" t="s">
        <v>432</v>
      </c>
      <c r="K212" s="95"/>
      <c r="L212" s="13"/>
      <c r="M212" s="13"/>
      <c r="N212" s="13"/>
      <c r="O212" s="13"/>
      <c r="P212" s="13"/>
      <c r="Q212" s="31"/>
    </row>
    <row r="213" spans="1:17" ht="30" outlineLevel="2" x14ac:dyDescent="0.2">
      <c r="A213" s="30"/>
      <c r="B213" s="28"/>
      <c r="C213" s="30"/>
      <c r="D213" s="59"/>
      <c r="E213" s="67"/>
      <c r="F213" s="13"/>
      <c r="G213" s="13"/>
      <c r="H213" s="13"/>
      <c r="I213" s="57"/>
      <c r="J213" s="14" t="s">
        <v>433</v>
      </c>
      <c r="K213" s="95"/>
      <c r="L213" s="13"/>
      <c r="M213" s="13"/>
      <c r="N213" s="13"/>
      <c r="O213" s="13"/>
      <c r="P213" s="13"/>
      <c r="Q213" s="31"/>
    </row>
    <row r="214" spans="1:17" ht="30" outlineLevel="2" x14ac:dyDescent="0.2">
      <c r="A214" s="30"/>
      <c r="B214" s="28"/>
      <c r="C214" s="30"/>
      <c r="D214" s="59"/>
      <c r="E214" s="67"/>
      <c r="F214" s="13"/>
      <c r="G214" s="13"/>
      <c r="H214" s="13"/>
      <c r="I214" s="57"/>
      <c r="J214" s="14" t="s">
        <v>635</v>
      </c>
      <c r="K214" s="95"/>
      <c r="L214" s="13"/>
      <c r="M214" s="13"/>
      <c r="N214" s="13"/>
      <c r="O214" s="13"/>
      <c r="P214" s="13"/>
      <c r="Q214" s="31"/>
    </row>
    <row r="215" spans="1:17" ht="30" outlineLevel="2" x14ac:dyDescent="0.2">
      <c r="A215" s="30"/>
      <c r="B215" s="28"/>
      <c r="C215" s="30"/>
      <c r="D215" s="61" t="s">
        <v>723</v>
      </c>
      <c r="E215" s="67"/>
      <c r="F215" s="13"/>
      <c r="G215" s="13"/>
      <c r="H215" s="13"/>
      <c r="I215" s="57"/>
      <c r="J215" s="14" t="s">
        <v>636</v>
      </c>
      <c r="K215" s="95"/>
      <c r="L215" s="13"/>
      <c r="M215" s="13"/>
      <c r="N215" s="13"/>
      <c r="O215" s="13"/>
      <c r="P215" s="13"/>
      <c r="Q215" s="31"/>
    </row>
    <row r="216" spans="1:17" ht="30" outlineLevel="2" x14ac:dyDescent="0.2">
      <c r="A216" s="30"/>
      <c r="B216" s="28"/>
      <c r="C216" s="30"/>
      <c r="D216" s="59"/>
      <c r="E216" s="67"/>
      <c r="F216" s="13"/>
      <c r="G216" s="13"/>
      <c r="H216" s="13"/>
      <c r="I216" s="57"/>
      <c r="J216" s="14" t="s">
        <v>436</v>
      </c>
      <c r="K216" s="96"/>
      <c r="L216" s="13"/>
      <c r="M216" s="13"/>
      <c r="N216" s="13"/>
      <c r="O216" s="13"/>
      <c r="P216" s="13"/>
      <c r="Q216" s="31"/>
    </row>
    <row r="217" spans="1:17" ht="15" outlineLevel="2" x14ac:dyDescent="0.2">
      <c r="A217" s="30"/>
      <c r="B217" s="28"/>
      <c r="C217" s="30"/>
      <c r="D217" s="59"/>
      <c r="E217" s="67"/>
      <c r="F217" s="13"/>
      <c r="G217" s="13"/>
      <c r="H217" s="13"/>
      <c r="I217" s="57"/>
      <c r="J217" s="13"/>
      <c r="K217" s="14"/>
      <c r="L217" s="13"/>
      <c r="M217" s="13"/>
      <c r="N217" s="13"/>
      <c r="O217" s="13"/>
      <c r="P217" s="13"/>
      <c r="Q217" s="31"/>
    </row>
    <row r="218" spans="1:17" ht="15" outlineLevel="2" x14ac:dyDescent="0.2">
      <c r="A218" s="30"/>
      <c r="B218" s="28"/>
      <c r="C218" s="30"/>
      <c r="D218" s="62"/>
      <c r="E218" s="67"/>
      <c r="F218" s="13"/>
      <c r="G218" s="13"/>
      <c r="H218" s="13"/>
      <c r="I218" s="57"/>
      <c r="J218" s="13"/>
      <c r="K218" s="13"/>
      <c r="L218" s="13"/>
      <c r="M218" s="13"/>
      <c r="N218" s="13"/>
      <c r="O218" s="13"/>
      <c r="P218" s="13"/>
      <c r="Q218" s="31"/>
    </row>
    <row r="219" spans="1:17" ht="180" outlineLevel="2" x14ac:dyDescent="0.2">
      <c r="A219" s="30">
        <v>60102</v>
      </c>
      <c r="B219" s="28"/>
      <c r="C219" s="30">
        <v>925306</v>
      </c>
      <c r="D219" s="59" t="s">
        <v>413</v>
      </c>
      <c r="E219" s="57" t="s">
        <v>20</v>
      </c>
      <c r="F219" s="13">
        <v>7</v>
      </c>
      <c r="G219" s="13">
        <v>0</v>
      </c>
      <c r="H219" s="13">
        <v>0</v>
      </c>
      <c r="I219" s="57">
        <v>0</v>
      </c>
      <c r="J219" s="13"/>
      <c r="K219" s="13">
        <v>7</v>
      </c>
      <c r="L219" s="13">
        <v>621.13</v>
      </c>
      <c r="M219" s="13">
        <v>4347.91</v>
      </c>
      <c r="N219" s="13">
        <v>0</v>
      </c>
      <c r="O219" s="13">
        <v>0</v>
      </c>
      <c r="P219" s="13">
        <v>0</v>
      </c>
      <c r="Q219" s="31">
        <f>PRODUCT(K219,L219)</f>
        <v>4347.91</v>
      </c>
    </row>
    <row r="220" spans="1:17" ht="30" outlineLevel="2" x14ac:dyDescent="0.2">
      <c r="A220" s="30"/>
      <c r="B220" s="28"/>
      <c r="C220" s="30"/>
      <c r="D220" s="59" t="s">
        <v>414</v>
      </c>
      <c r="E220" s="57"/>
      <c r="F220" s="13"/>
      <c r="G220" s="13"/>
      <c r="H220" s="13"/>
      <c r="I220" s="57"/>
      <c r="J220" s="14" t="s">
        <v>415</v>
      </c>
      <c r="K220" s="13"/>
      <c r="L220" s="13"/>
      <c r="M220" s="13"/>
      <c r="N220" s="13"/>
      <c r="O220" s="13"/>
      <c r="P220" s="13"/>
      <c r="Q220" s="31"/>
    </row>
    <row r="221" spans="1:17" ht="15" outlineLevel="2" x14ac:dyDescent="0.2">
      <c r="A221" s="30"/>
      <c r="B221" s="28"/>
      <c r="C221" s="30"/>
      <c r="D221" s="59" t="s">
        <v>404</v>
      </c>
      <c r="E221" s="57"/>
      <c r="F221" s="13"/>
      <c r="G221" s="13"/>
      <c r="H221" s="13"/>
      <c r="I221" s="57"/>
      <c r="J221" s="13"/>
      <c r="K221" s="13"/>
      <c r="L221" s="13"/>
      <c r="M221" s="13"/>
      <c r="N221" s="13"/>
      <c r="O221" s="13"/>
      <c r="P221" s="13"/>
      <c r="Q221" s="31"/>
    </row>
    <row r="222" spans="1:17" ht="15" outlineLevel="2" x14ac:dyDescent="0.2">
      <c r="A222" s="30"/>
      <c r="B222" s="28"/>
      <c r="C222" s="30"/>
      <c r="D222" s="59" t="s">
        <v>405</v>
      </c>
      <c r="E222" s="57"/>
      <c r="F222" s="48" t="s">
        <v>412</v>
      </c>
      <c r="G222" s="13"/>
      <c r="H222" s="13"/>
      <c r="I222" s="57"/>
      <c r="J222" s="13"/>
      <c r="K222" s="13"/>
      <c r="L222" s="13"/>
      <c r="M222" s="13"/>
      <c r="N222" s="13"/>
      <c r="O222" s="13"/>
      <c r="P222" s="13"/>
      <c r="Q222" s="31"/>
    </row>
    <row r="223" spans="1:17" ht="15" outlineLevel="2" x14ac:dyDescent="0.2">
      <c r="A223" s="30"/>
      <c r="B223" s="28"/>
      <c r="C223" s="30"/>
      <c r="D223" s="59" t="s">
        <v>406</v>
      </c>
      <c r="E223" s="57"/>
      <c r="F223" s="13"/>
      <c r="G223" s="13"/>
      <c r="H223" s="13"/>
      <c r="I223" s="57"/>
      <c r="J223" s="13"/>
      <c r="K223" s="13"/>
      <c r="L223" s="13"/>
      <c r="M223" s="13"/>
      <c r="N223" s="13"/>
      <c r="O223" s="13"/>
      <c r="P223" s="13"/>
      <c r="Q223" s="31"/>
    </row>
    <row r="224" spans="1:17" ht="15" outlineLevel="2" x14ac:dyDescent="0.2">
      <c r="A224" s="30"/>
      <c r="B224" s="28"/>
      <c r="C224" s="30"/>
      <c r="D224" s="59" t="s">
        <v>407</v>
      </c>
      <c r="E224" s="57"/>
      <c r="F224" s="13"/>
      <c r="G224" s="13"/>
      <c r="H224" s="13"/>
      <c r="I224" s="57"/>
      <c r="J224" s="14"/>
      <c r="K224" s="13"/>
      <c r="L224" s="13"/>
      <c r="M224" s="13"/>
      <c r="N224" s="13"/>
      <c r="O224" s="13"/>
      <c r="P224" s="13"/>
      <c r="Q224" s="31"/>
    </row>
    <row r="225" spans="1:17" ht="15" outlineLevel="2" x14ac:dyDescent="0.2">
      <c r="A225" s="30"/>
      <c r="B225" s="28"/>
      <c r="C225" s="30"/>
      <c r="D225" s="59" t="s">
        <v>407</v>
      </c>
      <c r="E225" s="57"/>
      <c r="F225" s="13"/>
      <c r="G225" s="13"/>
      <c r="H225" s="13"/>
      <c r="I225" s="57"/>
      <c r="J225" s="13"/>
      <c r="K225" s="13"/>
      <c r="L225" s="13"/>
      <c r="M225" s="13"/>
      <c r="N225" s="13"/>
      <c r="O225" s="13"/>
      <c r="P225" s="13"/>
      <c r="Q225" s="31"/>
    </row>
    <row r="226" spans="1:17" ht="15" outlineLevel="2" x14ac:dyDescent="0.2">
      <c r="A226" s="30"/>
      <c r="B226" s="28"/>
      <c r="C226" s="30"/>
      <c r="D226" s="59" t="s">
        <v>408</v>
      </c>
      <c r="E226" s="57"/>
      <c r="F226" s="13"/>
      <c r="G226" s="13"/>
      <c r="H226" s="13"/>
      <c r="I226" s="57"/>
      <c r="J226" s="13"/>
      <c r="K226" s="13"/>
      <c r="L226" s="13"/>
      <c r="M226" s="13"/>
      <c r="N226" s="13"/>
      <c r="O226" s="13"/>
      <c r="P226" s="13"/>
      <c r="Q226" s="31"/>
    </row>
    <row r="227" spans="1:17" ht="15" outlineLevel="2" x14ac:dyDescent="0.2">
      <c r="A227" s="30"/>
      <c r="B227" s="28"/>
      <c r="C227" s="30"/>
      <c r="D227" s="59" t="s">
        <v>409</v>
      </c>
      <c r="E227" s="57"/>
      <c r="F227" s="13"/>
      <c r="G227" s="13"/>
      <c r="H227" s="13"/>
      <c r="I227" s="57"/>
      <c r="J227" s="13"/>
      <c r="K227" s="13"/>
      <c r="L227" s="13"/>
      <c r="M227" s="13"/>
      <c r="N227" s="13"/>
      <c r="O227" s="13"/>
      <c r="P227" s="13"/>
      <c r="Q227" s="31"/>
    </row>
    <row r="228" spans="1:17" ht="60" outlineLevel="2" x14ac:dyDescent="0.2">
      <c r="A228" s="30">
        <v>60103</v>
      </c>
      <c r="B228" s="28"/>
      <c r="C228" s="30">
        <v>925307</v>
      </c>
      <c r="D228" s="59" t="s">
        <v>100</v>
      </c>
      <c r="E228" s="57" t="s">
        <v>20</v>
      </c>
      <c r="F228" s="13">
        <v>8</v>
      </c>
      <c r="G228" s="13">
        <v>0</v>
      </c>
      <c r="H228" s="13">
        <v>0</v>
      </c>
      <c r="I228" s="57">
        <v>0</v>
      </c>
      <c r="J228" s="13"/>
      <c r="K228" s="13">
        <v>8</v>
      </c>
      <c r="L228" s="13">
        <v>1076.8399999999999</v>
      </c>
      <c r="M228" s="13">
        <v>8614.7199999999993</v>
      </c>
      <c r="N228" s="13">
        <v>0</v>
      </c>
      <c r="O228" s="13">
        <v>0</v>
      </c>
      <c r="P228" s="13">
        <v>0</v>
      </c>
      <c r="Q228" s="31">
        <f>PRODUCT(K228,L228)</f>
        <v>8614.7199999999993</v>
      </c>
    </row>
    <row r="229" spans="1:17" ht="15" outlineLevel="2" x14ac:dyDescent="0.2">
      <c r="A229" s="30"/>
      <c r="B229" s="28"/>
      <c r="C229" s="30"/>
      <c r="D229" s="59" t="s">
        <v>414</v>
      </c>
      <c r="E229" s="57"/>
      <c r="F229" s="13"/>
      <c r="G229" s="13"/>
      <c r="H229" s="13"/>
      <c r="I229" s="57"/>
      <c r="J229" s="13"/>
      <c r="K229" s="13"/>
      <c r="L229" s="13"/>
      <c r="M229" s="13"/>
      <c r="N229" s="13"/>
      <c r="O229" s="13"/>
      <c r="P229" s="13"/>
      <c r="Q229" s="31"/>
    </row>
    <row r="230" spans="1:17" ht="15" outlineLevel="2" x14ac:dyDescent="0.2">
      <c r="A230" s="30"/>
      <c r="B230" s="28"/>
      <c r="C230" s="30"/>
      <c r="D230" s="59" t="s">
        <v>404</v>
      </c>
      <c r="E230" s="57"/>
      <c r="F230" s="13"/>
      <c r="G230" s="13"/>
      <c r="H230" s="13"/>
      <c r="I230" s="57"/>
      <c r="J230" s="13"/>
      <c r="K230" s="13"/>
      <c r="L230" s="13"/>
      <c r="M230" s="13"/>
      <c r="N230" s="13"/>
      <c r="O230" s="13"/>
      <c r="P230" s="13"/>
      <c r="Q230" s="31"/>
    </row>
    <row r="231" spans="1:17" ht="15" outlineLevel="2" x14ac:dyDescent="0.2">
      <c r="A231" s="30"/>
      <c r="B231" s="28"/>
      <c r="C231" s="30"/>
      <c r="D231" s="59" t="s">
        <v>405</v>
      </c>
      <c r="E231" s="57"/>
      <c r="F231" s="13"/>
      <c r="G231" s="13"/>
      <c r="H231" s="13"/>
      <c r="I231" s="57"/>
      <c r="J231" s="13"/>
      <c r="K231" s="13"/>
      <c r="L231" s="13"/>
      <c r="M231" s="13"/>
      <c r="N231" s="13"/>
      <c r="O231" s="13"/>
      <c r="P231" s="13"/>
      <c r="Q231" s="31"/>
    </row>
    <row r="232" spans="1:17" ht="15" outlineLevel="2" x14ac:dyDescent="0.2">
      <c r="A232" s="30"/>
      <c r="B232" s="28"/>
      <c r="C232" s="30"/>
      <c r="D232" s="59" t="s">
        <v>406</v>
      </c>
      <c r="E232" s="57"/>
      <c r="F232" s="13"/>
      <c r="G232" s="13"/>
      <c r="H232" s="13"/>
      <c r="I232" s="57"/>
      <c r="J232" s="13"/>
      <c r="K232" s="13"/>
      <c r="L232" s="13"/>
      <c r="M232" s="13"/>
      <c r="N232" s="13"/>
      <c r="O232" s="13"/>
      <c r="P232" s="13"/>
      <c r="Q232" s="31"/>
    </row>
    <row r="233" spans="1:17" ht="15" outlineLevel="2" x14ac:dyDescent="0.2">
      <c r="A233" s="30"/>
      <c r="B233" s="28"/>
      <c r="C233" s="30"/>
      <c r="D233" s="59" t="s">
        <v>407</v>
      </c>
      <c r="E233" s="57"/>
      <c r="F233" s="13"/>
      <c r="G233" s="13"/>
      <c r="H233" s="13"/>
      <c r="I233" s="57"/>
      <c r="J233" s="13"/>
      <c r="K233" s="13"/>
      <c r="L233" s="13"/>
      <c r="M233" s="13"/>
      <c r="N233" s="13"/>
      <c r="O233" s="13"/>
      <c r="P233" s="13"/>
      <c r="Q233" s="31"/>
    </row>
    <row r="234" spans="1:17" ht="15" outlineLevel="2" x14ac:dyDescent="0.2">
      <c r="A234" s="30"/>
      <c r="B234" s="28"/>
      <c r="C234" s="30"/>
      <c r="D234" s="59" t="s">
        <v>407</v>
      </c>
      <c r="E234" s="57"/>
      <c r="F234" s="13"/>
      <c r="G234" s="13"/>
      <c r="H234" s="13"/>
      <c r="I234" s="57"/>
      <c r="J234" s="13"/>
      <c r="K234" s="13"/>
      <c r="L234" s="13"/>
      <c r="M234" s="13"/>
      <c r="N234" s="13"/>
      <c r="O234" s="13"/>
      <c r="P234" s="13"/>
      <c r="Q234" s="31"/>
    </row>
    <row r="235" spans="1:17" ht="15" outlineLevel="2" x14ac:dyDescent="0.2">
      <c r="A235" s="30"/>
      <c r="B235" s="28"/>
      <c r="C235" s="30"/>
      <c r="D235" s="59" t="s">
        <v>408</v>
      </c>
      <c r="E235" s="57"/>
      <c r="F235" s="13"/>
      <c r="G235" s="13"/>
      <c r="H235" s="13"/>
      <c r="I235" s="57"/>
      <c r="J235" s="13"/>
      <c r="K235" s="13"/>
      <c r="L235" s="13"/>
      <c r="M235" s="13"/>
      <c r="N235" s="13"/>
      <c r="O235" s="13"/>
      <c r="P235" s="13"/>
      <c r="Q235" s="31"/>
    </row>
    <row r="236" spans="1:17" ht="15" outlineLevel="2" x14ac:dyDescent="0.2">
      <c r="A236" s="30"/>
      <c r="B236" s="28"/>
      <c r="C236" s="30"/>
      <c r="D236" s="59" t="s">
        <v>409</v>
      </c>
      <c r="E236" s="57"/>
      <c r="F236" s="13"/>
      <c r="G236" s="13"/>
      <c r="H236" s="13"/>
      <c r="I236" s="57"/>
      <c r="J236" s="13"/>
      <c r="K236" s="13"/>
      <c r="L236" s="13"/>
      <c r="M236" s="13"/>
      <c r="N236" s="13"/>
      <c r="O236" s="13"/>
      <c r="P236" s="13"/>
      <c r="Q236" s="31"/>
    </row>
    <row r="237" spans="1:17" ht="15" outlineLevel="2" x14ac:dyDescent="0.2">
      <c r="A237" s="30"/>
      <c r="B237" s="28"/>
      <c r="C237" s="30"/>
      <c r="D237" s="59"/>
      <c r="E237" s="57"/>
      <c r="F237" s="13"/>
      <c r="G237" s="13"/>
      <c r="H237" s="13"/>
      <c r="I237" s="57"/>
      <c r="J237" s="13"/>
      <c r="K237" s="13"/>
      <c r="L237" s="13"/>
      <c r="M237" s="13"/>
      <c r="N237" s="13"/>
      <c r="O237" s="13"/>
      <c r="P237" s="13"/>
      <c r="Q237" s="31"/>
    </row>
    <row r="238" spans="1:17" ht="15" outlineLevel="2" x14ac:dyDescent="0.2">
      <c r="A238" s="30"/>
      <c r="B238" s="28"/>
      <c r="C238" s="30"/>
      <c r="D238" s="59"/>
      <c r="E238" s="57"/>
      <c r="F238" s="13"/>
      <c r="G238" s="13"/>
      <c r="H238" s="13"/>
      <c r="I238" s="57"/>
      <c r="J238" s="13"/>
      <c r="K238" s="13"/>
      <c r="L238" s="13"/>
      <c r="M238" s="13"/>
      <c r="N238" s="13"/>
      <c r="O238" s="13"/>
      <c r="P238" s="13"/>
      <c r="Q238" s="31"/>
    </row>
    <row r="239" spans="1:17" ht="105" outlineLevel="2" x14ac:dyDescent="0.2">
      <c r="A239" s="30">
        <v>60104</v>
      </c>
      <c r="B239" s="28"/>
      <c r="C239" s="30">
        <v>925308</v>
      </c>
      <c r="D239" s="59" t="s">
        <v>101</v>
      </c>
      <c r="E239" s="57" t="s">
        <v>20</v>
      </c>
      <c r="F239" s="13">
        <v>16</v>
      </c>
      <c r="G239" s="13">
        <v>0</v>
      </c>
      <c r="H239" s="13">
        <v>0</v>
      </c>
      <c r="I239" s="57">
        <v>0</v>
      </c>
      <c r="J239" s="13"/>
      <c r="K239" s="13">
        <v>16</v>
      </c>
      <c r="L239" s="13">
        <v>350.21</v>
      </c>
      <c r="M239" s="13">
        <v>5603.36</v>
      </c>
      <c r="N239" s="13">
        <v>0</v>
      </c>
      <c r="O239" s="13">
        <v>0</v>
      </c>
      <c r="P239" s="13">
        <v>0</v>
      </c>
      <c r="Q239" s="31">
        <f t="shared" ref="Q239:Q256" si="2">PRODUCT(K239,L239)</f>
        <v>5603.36</v>
      </c>
    </row>
    <row r="240" spans="1:17" ht="60" outlineLevel="2" x14ac:dyDescent="0.2">
      <c r="A240" s="30">
        <v>60105</v>
      </c>
      <c r="B240" s="28"/>
      <c r="C240" s="30">
        <v>925309</v>
      </c>
      <c r="D240" s="59" t="s">
        <v>102</v>
      </c>
      <c r="E240" s="57" t="s">
        <v>20</v>
      </c>
      <c r="F240" s="13">
        <v>6</v>
      </c>
      <c r="G240" s="13">
        <v>0</v>
      </c>
      <c r="H240" s="13">
        <v>0</v>
      </c>
      <c r="I240" s="57">
        <v>0</v>
      </c>
      <c r="J240" s="13"/>
      <c r="K240" s="13">
        <v>6</v>
      </c>
      <c r="L240" s="13">
        <v>892.87</v>
      </c>
      <c r="M240" s="13">
        <v>5357.22</v>
      </c>
      <c r="N240" s="13">
        <v>0</v>
      </c>
      <c r="O240" s="13">
        <v>0</v>
      </c>
      <c r="P240" s="13">
        <v>0</v>
      </c>
      <c r="Q240" s="31">
        <f t="shared" si="2"/>
        <v>5357.22</v>
      </c>
    </row>
    <row r="241" spans="1:17" ht="30" outlineLevel="2" x14ac:dyDescent="0.2">
      <c r="A241" s="30">
        <v>60106</v>
      </c>
      <c r="B241" s="28"/>
      <c r="C241" s="30">
        <v>920991</v>
      </c>
      <c r="D241" s="59" t="s">
        <v>103</v>
      </c>
      <c r="E241" s="57" t="s">
        <v>10</v>
      </c>
      <c r="F241" s="13">
        <v>156.96</v>
      </c>
      <c r="G241" s="13">
        <v>0</v>
      </c>
      <c r="H241" s="13">
        <v>0</v>
      </c>
      <c r="I241" s="57">
        <v>0</v>
      </c>
      <c r="J241" s="13"/>
      <c r="K241" s="13">
        <v>156.96</v>
      </c>
      <c r="L241" s="13">
        <v>18.5</v>
      </c>
      <c r="M241" s="13">
        <v>2903.76</v>
      </c>
      <c r="N241" s="13">
        <v>0</v>
      </c>
      <c r="O241" s="13">
        <v>0</v>
      </c>
      <c r="P241" s="13">
        <v>0</v>
      </c>
      <c r="Q241" s="31">
        <f t="shared" si="2"/>
        <v>2903.76</v>
      </c>
    </row>
    <row r="242" spans="1:17" ht="105" outlineLevel="2" x14ac:dyDescent="0.2">
      <c r="A242" s="30">
        <v>60107</v>
      </c>
      <c r="B242" s="28"/>
      <c r="C242" s="30">
        <v>923159</v>
      </c>
      <c r="D242" s="59" t="s">
        <v>104</v>
      </c>
      <c r="E242" s="57" t="s">
        <v>20</v>
      </c>
      <c r="F242" s="13">
        <v>23</v>
      </c>
      <c r="G242" s="13">
        <v>0</v>
      </c>
      <c r="H242" s="13">
        <v>0</v>
      </c>
      <c r="I242" s="57">
        <v>0</v>
      </c>
      <c r="J242" s="13"/>
      <c r="K242" s="13">
        <v>23</v>
      </c>
      <c r="L242" s="13">
        <v>77.930000000000007</v>
      </c>
      <c r="M242" s="13">
        <v>1792.39</v>
      </c>
      <c r="N242" s="13">
        <v>0</v>
      </c>
      <c r="O242" s="13">
        <v>0</v>
      </c>
      <c r="P242" s="13">
        <v>0</v>
      </c>
      <c r="Q242" s="31">
        <f t="shared" si="2"/>
        <v>1792.39</v>
      </c>
    </row>
    <row r="243" spans="1:17" ht="90" outlineLevel="2" x14ac:dyDescent="0.2">
      <c r="A243" s="30">
        <v>60108</v>
      </c>
      <c r="B243" s="28"/>
      <c r="C243" s="30">
        <v>925310</v>
      </c>
      <c r="D243" s="59" t="s">
        <v>105</v>
      </c>
      <c r="E243" s="57" t="s">
        <v>10</v>
      </c>
      <c r="F243" s="13">
        <v>12.39</v>
      </c>
      <c r="G243" s="13">
        <v>0</v>
      </c>
      <c r="H243" s="13">
        <v>0</v>
      </c>
      <c r="I243" s="57">
        <v>0</v>
      </c>
      <c r="J243" s="13"/>
      <c r="K243" s="13">
        <v>12.39</v>
      </c>
      <c r="L243" s="13">
        <v>1225.32</v>
      </c>
      <c r="M243" s="13">
        <v>15181.71</v>
      </c>
      <c r="N243" s="13">
        <v>0</v>
      </c>
      <c r="O243" s="13">
        <v>0</v>
      </c>
      <c r="P243" s="13">
        <v>0</v>
      </c>
      <c r="Q243" s="31">
        <f t="shared" si="2"/>
        <v>15181.7148</v>
      </c>
    </row>
    <row r="244" spans="1:17" ht="30" outlineLevel="2" x14ac:dyDescent="0.2">
      <c r="A244" s="30">
        <v>60109</v>
      </c>
      <c r="B244" s="28"/>
      <c r="C244" s="30">
        <v>925311</v>
      </c>
      <c r="D244" s="59" t="s">
        <v>106</v>
      </c>
      <c r="E244" s="57" t="s">
        <v>10</v>
      </c>
      <c r="F244" s="13">
        <v>101.07</v>
      </c>
      <c r="G244" s="13">
        <v>0</v>
      </c>
      <c r="H244" s="13">
        <v>0</v>
      </c>
      <c r="I244" s="57">
        <v>0</v>
      </c>
      <c r="J244" s="13"/>
      <c r="K244" s="13">
        <v>101.07</v>
      </c>
      <c r="L244" s="13">
        <v>550.86</v>
      </c>
      <c r="M244" s="13">
        <v>55675.42</v>
      </c>
      <c r="N244" s="13">
        <v>0</v>
      </c>
      <c r="O244" s="13">
        <v>0</v>
      </c>
      <c r="P244" s="13">
        <v>0</v>
      </c>
      <c r="Q244" s="31">
        <f t="shared" si="2"/>
        <v>55675.4202</v>
      </c>
    </row>
    <row r="245" spans="1:17" ht="75" outlineLevel="2" x14ac:dyDescent="0.2">
      <c r="A245" s="30">
        <v>60110</v>
      </c>
      <c r="B245" s="28"/>
      <c r="C245" s="30">
        <v>925312</v>
      </c>
      <c r="D245" s="59" t="s">
        <v>107</v>
      </c>
      <c r="E245" s="57" t="s">
        <v>10</v>
      </c>
      <c r="F245" s="13">
        <v>10.9</v>
      </c>
      <c r="G245" s="13">
        <v>0</v>
      </c>
      <c r="H245" s="13">
        <v>0</v>
      </c>
      <c r="I245" s="57">
        <v>0</v>
      </c>
      <c r="J245" s="13"/>
      <c r="K245" s="13">
        <v>10.9</v>
      </c>
      <c r="L245" s="13">
        <v>421.62</v>
      </c>
      <c r="M245" s="13">
        <v>4595.6499999999996</v>
      </c>
      <c r="N245" s="13">
        <v>0</v>
      </c>
      <c r="O245" s="13">
        <v>0</v>
      </c>
      <c r="P245" s="13">
        <v>0</v>
      </c>
      <c r="Q245" s="31">
        <f t="shared" si="2"/>
        <v>4595.6580000000004</v>
      </c>
    </row>
    <row r="246" spans="1:17" ht="60" outlineLevel="2" x14ac:dyDescent="0.2">
      <c r="A246" s="30">
        <v>60111</v>
      </c>
      <c r="B246" s="28"/>
      <c r="C246" s="30">
        <v>924633</v>
      </c>
      <c r="D246" s="59" t="s">
        <v>108</v>
      </c>
      <c r="E246" s="57" t="s">
        <v>10</v>
      </c>
      <c r="F246" s="13">
        <v>10.35</v>
      </c>
      <c r="G246" s="13">
        <v>0</v>
      </c>
      <c r="H246" s="13">
        <v>0</v>
      </c>
      <c r="I246" s="57">
        <v>0</v>
      </c>
      <c r="J246" s="13"/>
      <c r="K246" s="13">
        <v>10.35</v>
      </c>
      <c r="L246" s="13">
        <v>443.42</v>
      </c>
      <c r="M246" s="13">
        <v>4589.3900000000003</v>
      </c>
      <c r="N246" s="13">
        <v>0</v>
      </c>
      <c r="O246" s="13">
        <v>0</v>
      </c>
      <c r="P246" s="13">
        <v>0</v>
      </c>
      <c r="Q246" s="31">
        <f t="shared" si="2"/>
        <v>4589.3969999999999</v>
      </c>
    </row>
    <row r="247" spans="1:17" ht="45" outlineLevel="2" x14ac:dyDescent="0.2">
      <c r="A247" s="30">
        <v>60112</v>
      </c>
      <c r="B247" s="28"/>
      <c r="C247" s="30">
        <v>925313</v>
      </c>
      <c r="D247" s="59" t="s">
        <v>109</v>
      </c>
      <c r="E247" s="57" t="s">
        <v>10</v>
      </c>
      <c r="F247" s="13">
        <v>2.64</v>
      </c>
      <c r="G247" s="13">
        <v>0</v>
      </c>
      <c r="H247" s="13">
        <v>0</v>
      </c>
      <c r="I247" s="57">
        <v>0</v>
      </c>
      <c r="J247" s="13"/>
      <c r="K247" s="13">
        <v>2.64</v>
      </c>
      <c r="L247" s="13">
        <v>332.97</v>
      </c>
      <c r="M247" s="13">
        <v>879.04</v>
      </c>
      <c r="N247" s="13">
        <v>0</v>
      </c>
      <c r="O247" s="13">
        <v>0</v>
      </c>
      <c r="P247" s="13">
        <v>0</v>
      </c>
      <c r="Q247" s="31">
        <f t="shared" si="2"/>
        <v>879.0408000000001</v>
      </c>
    </row>
    <row r="248" spans="1:17" ht="45" outlineLevel="2" x14ac:dyDescent="0.2">
      <c r="A248" s="30">
        <v>60113</v>
      </c>
      <c r="B248" s="28"/>
      <c r="C248" s="30">
        <v>925314</v>
      </c>
      <c r="D248" s="59" t="s">
        <v>110</v>
      </c>
      <c r="E248" s="57" t="s">
        <v>20</v>
      </c>
      <c r="F248" s="13">
        <v>54</v>
      </c>
      <c r="G248" s="13">
        <v>0</v>
      </c>
      <c r="H248" s="13">
        <v>10</v>
      </c>
      <c r="I248" s="57">
        <v>10</v>
      </c>
      <c r="J248" s="13"/>
      <c r="K248" s="13">
        <v>44</v>
      </c>
      <c r="L248" s="13">
        <v>1680.31</v>
      </c>
      <c r="M248" s="13">
        <v>90736.74</v>
      </c>
      <c r="N248" s="13">
        <v>0</v>
      </c>
      <c r="O248" s="13">
        <v>16803.099999999999</v>
      </c>
      <c r="P248" s="13">
        <v>16803.099999999999</v>
      </c>
      <c r="Q248" s="31">
        <f t="shared" si="2"/>
        <v>73933.64</v>
      </c>
    </row>
    <row r="249" spans="1:17" ht="75" outlineLevel="2" x14ac:dyDescent="0.2">
      <c r="A249" s="30">
        <v>60114</v>
      </c>
      <c r="B249" s="28"/>
      <c r="C249" s="30">
        <v>925315</v>
      </c>
      <c r="D249" s="59" t="s">
        <v>111</v>
      </c>
      <c r="E249" s="57" t="s">
        <v>20</v>
      </c>
      <c r="F249" s="13">
        <v>1</v>
      </c>
      <c r="G249" s="13">
        <v>0</v>
      </c>
      <c r="H249" s="13">
        <v>0</v>
      </c>
      <c r="I249" s="57">
        <v>0</v>
      </c>
      <c r="J249" s="13"/>
      <c r="K249" s="13">
        <v>1</v>
      </c>
      <c r="L249" s="13">
        <v>732.89</v>
      </c>
      <c r="M249" s="13">
        <v>732.89</v>
      </c>
      <c r="N249" s="13">
        <v>0</v>
      </c>
      <c r="O249" s="13">
        <v>0</v>
      </c>
      <c r="P249" s="13">
        <v>0</v>
      </c>
      <c r="Q249" s="31">
        <f t="shared" si="2"/>
        <v>732.89</v>
      </c>
    </row>
    <row r="250" spans="1:17" ht="90" outlineLevel="2" x14ac:dyDescent="0.2">
      <c r="A250" s="30">
        <v>60115</v>
      </c>
      <c r="B250" s="28"/>
      <c r="C250" s="30">
        <v>920808</v>
      </c>
      <c r="D250" s="59" t="s">
        <v>112</v>
      </c>
      <c r="E250" s="57" t="s">
        <v>10</v>
      </c>
      <c r="F250" s="13">
        <v>22.5</v>
      </c>
      <c r="G250" s="13">
        <v>0</v>
      </c>
      <c r="H250" s="13">
        <v>0</v>
      </c>
      <c r="I250" s="57">
        <v>0</v>
      </c>
      <c r="J250" s="13"/>
      <c r="K250" s="13">
        <v>22.5</v>
      </c>
      <c r="L250" s="13">
        <v>15.21</v>
      </c>
      <c r="M250" s="13">
        <v>342.22</v>
      </c>
      <c r="N250" s="13">
        <v>0</v>
      </c>
      <c r="O250" s="13">
        <v>0</v>
      </c>
      <c r="P250" s="13">
        <v>0</v>
      </c>
      <c r="Q250" s="31">
        <f t="shared" si="2"/>
        <v>342.22500000000002</v>
      </c>
    </row>
    <row r="251" spans="1:17" ht="45" outlineLevel="2" x14ac:dyDescent="0.2">
      <c r="A251" s="30">
        <v>60116</v>
      </c>
      <c r="B251" s="28"/>
      <c r="C251" s="30">
        <v>925316</v>
      </c>
      <c r="D251" s="59" t="s">
        <v>113</v>
      </c>
      <c r="E251" s="57" t="s">
        <v>20</v>
      </c>
      <c r="F251" s="13">
        <v>1</v>
      </c>
      <c r="G251" s="13">
        <v>0</v>
      </c>
      <c r="H251" s="13">
        <v>0</v>
      </c>
      <c r="I251" s="57">
        <v>0</v>
      </c>
      <c r="J251" s="13"/>
      <c r="K251" s="13">
        <v>1</v>
      </c>
      <c r="L251" s="13">
        <v>4291.42</v>
      </c>
      <c r="M251" s="13">
        <v>4291.42</v>
      </c>
      <c r="N251" s="13">
        <v>0</v>
      </c>
      <c r="O251" s="13">
        <v>0</v>
      </c>
      <c r="P251" s="13">
        <v>0</v>
      </c>
      <c r="Q251" s="31">
        <f t="shared" si="2"/>
        <v>4291.42</v>
      </c>
    </row>
    <row r="252" spans="1:17" ht="60" outlineLevel="2" x14ac:dyDescent="0.2">
      <c r="A252" s="30">
        <v>60117</v>
      </c>
      <c r="B252" s="28"/>
      <c r="C252" s="30">
        <v>925318</v>
      </c>
      <c r="D252" s="59" t="s">
        <v>114</v>
      </c>
      <c r="E252" s="57" t="s">
        <v>10</v>
      </c>
      <c r="F252" s="13"/>
      <c r="G252" s="13"/>
      <c r="H252" s="13"/>
      <c r="I252" s="57"/>
      <c r="J252" s="13"/>
      <c r="K252" s="13"/>
      <c r="L252" s="13">
        <v>170.55</v>
      </c>
      <c r="M252" s="13">
        <v>35404.47</v>
      </c>
      <c r="N252" s="13">
        <v>0</v>
      </c>
      <c r="O252" s="13">
        <v>0</v>
      </c>
      <c r="P252" s="13">
        <v>0</v>
      </c>
      <c r="Q252" s="31">
        <f t="shared" si="2"/>
        <v>170.55</v>
      </c>
    </row>
    <row r="253" spans="1:17" ht="30" outlineLevel="2" x14ac:dyDescent="0.2">
      <c r="A253" s="30">
        <v>60118</v>
      </c>
      <c r="B253" s="28"/>
      <c r="C253" s="30">
        <v>925317</v>
      </c>
      <c r="D253" s="59" t="s">
        <v>115</v>
      </c>
      <c r="E253" s="57" t="s">
        <v>10</v>
      </c>
      <c r="F253" s="13"/>
      <c r="G253" s="13"/>
      <c r="H253" s="13"/>
      <c r="I253" s="57"/>
      <c r="J253" s="13"/>
      <c r="K253" s="13"/>
      <c r="L253" s="13">
        <v>25.45</v>
      </c>
      <c r="M253" s="13">
        <v>106.89</v>
      </c>
      <c r="N253" s="13">
        <v>0</v>
      </c>
      <c r="O253" s="13">
        <v>0</v>
      </c>
      <c r="P253" s="13">
        <v>0</v>
      </c>
      <c r="Q253" s="31">
        <f t="shared" si="2"/>
        <v>25.45</v>
      </c>
    </row>
    <row r="254" spans="1:17" ht="15" x14ac:dyDescent="0.2">
      <c r="A254" s="28"/>
      <c r="B254" s="28"/>
      <c r="C254" s="28"/>
      <c r="D254" s="60"/>
      <c r="E254" s="67"/>
      <c r="F254" s="28"/>
      <c r="G254" s="28"/>
      <c r="H254" s="28"/>
      <c r="I254" s="67"/>
      <c r="J254" s="28"/>
      <c r="K254" s="28"/>
      <c r="L254" s="28"/>
      <c r="M254" s="28"/>
      <c r="N254" s="28"/>
      <c r="O254" s="28"/>
      <c r="P254" s="28"/>
      <c r="Q254" s="31">
        <f t="shared" si="2"/>
        <v>0</v>
      </c>
    </row>
    <row r="255" spans="1:17" ht="15" x14ac:dyDescent="0.2">
      <c r="A255" s="28"/>
      <c r="B255" s="28"/>
      <c r="C255" s="28"/>
      <c r="D255" s="60"/>
      <c r="E255" s="67"/>
      <c r="F255" s="28"/>
      <c r="G255" s="28"/>
      <c r="H255" s="28"/>
      <c r="I255" s="67"/>
      <c r="J255" s="28"/>
      <c r="K255" s="28"/>
      <c r="L255" s="28"/>
      <c r="M255" s="28"/>
      <c r="N255" s="28"/>
      <c r="O255" s="28"/>
      <c r="P255" s="28"/>
      <c r="Q255" s="31">
        <f t="shared" si="2"/>
        <v>0</v>
      </c>
    </row>
    <row r="256" spans="1:17" ht="173.25" outlineLevel="2" x14ac:dyDescent="0.2">
      <c r="A256" s="30">
        <v>70101</v>
      </c>
      <c r="B256" s="28"/>
      <c r="C256" s="30">
        <v>921936</v>
      </c>
      <c r="D256" s="37" t="s">
        <v>116</v>
      </c>
      <c r="E256" s="57" t="s">
        <v>10</v>
      </c>
      <c r="F256" s="13"/>
      <c r="G256" s="13">
        <v>0</v>
      </c>
      <c r="H256" s="13">
        <v>1656.94</v>
      </c>
      <c r="I256" s="57">
        <f>I257+I258+I259+I260+I261+I262+I263+I264</f>
        <v>193.21859999999998</v>
      </c>
      <c r="J256" s="13"/>
      <c r="K256" s="13"/>
      <c r="L256" s="13">
        <v>59.48</v>
      </c>
      <c r="M256" s="13">
        <v>98554.79</v>
      </c>
      <c r="N256" s="13">
        <v>0</v>
      </c>
      <c r="O256" s="13">
        <v>98554.79</v>
      </c>
      <c r="P256" s="13">
        <v>98554.79</v>
      </c>
      <c r="Q256" s="31">
        <f t="shared" si="2"/>
        <v>59.48</v>
      </c>
    </row>
    <row r="257" spans="1:17" ht="45" outlineLevel="2" x14ac:dyDescent="0.2">
      <c r="A257" s="30"/>
      <c r="B257" s="28"/>
      <c r="C257" s="30"/>
      <c r="D257" s="59" t="s">
        <v>414</v>
      </c>
      <c r="E257" s="57"/>
      <c r="F257" s="13"/>
      <c r="G257" s="13"/>
      <c r="H257" s="13"/>
      <c r="I257" s="57">
        <f>((4.98*1.44/2)*2)+((2*0.12*2)*2)+(14.27*2*0.4)</f>
        <v>19.5472</v>
      </c>
      <c r="J257" s="14" t="s">
        <v>730</v>
      </c>
      <c r="K257" s="13"/>
      <c r="L257" s="13"/>
      <c r="M257" s="13"/>
      <c r="N257" s="13"/>
      <c r="O257" s="13"/>
      <c r="P257" s="13"/>
      <c r="Q257" s="31"/>
    </row>
    <row r="258" spans="1:17" ht="30" outlineLevel="2" x14ac:dyDescent="0.2">
      <c r="A258" s="30"/>
      <c r="B258" s="28"/>
      <c r="C258" s="30"/>
      <c r="D258" s="59" t="s">
        <v>404</v>
      </c>
      <c r="E258" s="57"/>
      <c r="F258" s="13"/>
      <c r="G258" s="13"/>
      <c r="H258" s="13"/>
      <c r="I258" s="57">
        <f>3.08*1.1</f>
        <v>3.3880000000000003</v>
      </c>
      <c r="J258" s="14" t="s">
        <v>729</v>
      </c>
      <c r="K258" s="13"/>
      <c r="L258" s="13"/>
      <c r="M258" s="13"/>
      <c r="N258" s="13"/>
      <c r="O258" s="13"/>
      <c r="P258" s="13"/>
      <c r="Q258" s="31"/>
    </row>
    <row r="259" spans="1:17" ht="45" outlineLevel="2" x14ac:dyDescent="0.2">
      <c r="A259" s="30"/>
      <c r="B259" s="28"/>
      <c r="C259" s="30"/>
      <c r="D259" s="59" t="s">
        <v>405</v>
      </c>
      <c r="E259" s="57"/>
      <c r="F259" s="13"/>
      <c r="G259" s="13"/>
      <c r="H259" s="13"/>
      <c r="I259" s="57">
        <f>(0.82*0.72)+(0.68*2*2.5)</f>
        <v>3.9904000000000002</v>
      </c>
      <c r="J259" s="14" t="s">
        <v>677</v>
      </c>
      <c r="K259" s="13"/>
      <c r="L259" s="13"/>
      <c r="M259" s="13"/>
      <c r="N259" s="13"/>
      <c r="O259" s="13"/>
      <c r="P259" s="13"/>
      <c r="Q259" s="31"/>
    </row>
    <row r="260" spans="1:17" ht="90" outlineLevel="2" x14ac:dyDescent="0.2">
      <c r="A260" s="30"/>
      <c r="B260" s="28"/>
      <c r="C260" s="30"/>
      <c r="D260" s="59" t="s">
        <v>600</v>
      </c>
      <c r="E260" s="57"/>
      <c r="F260" s="13"/>
      <c r="G260" s="13"/>
      <c r="H260" s="13"/>
      <c r="I260" s="57">
        <f>((4.98*1.44/2)*2)+((2*0.12*2)*2)+(14.27*2*0.4)+(0.38*0.9*5)+(0.55*0.9*3)</f>
        <v>22.7422</v>
      </c>
      <c r="J260" s="14" t="s">
        <v>731</v>
      </c>
      <c r="K260" s="13"/>
      <c r="L260" s="13"/>
      <c r="M260" s="13"/>
      <c r="N260" s="13"/>
      <c r="O260" s="13"/>
      <c r="P260" s="13"/>
      <c r="Q260" s="31"/>
    </row>
    <row r="261" spans="1:17" ht="45" outlineLevel="2" x14ac:dyDescent="0.2">
      <c r="A261" s="30"/>
      <c r="B261" s="28"/>
      <c r="C261" s="30"/>
      <c r="D261" s="59" t="s">
        <v>465</v>
      </c>
      <c r="E261" s="57"/>
      <c r="F261" s="13"/>
      <c r="G261" s="13"/>
      <c r="H261" s="13"/>
      <c r="I261" s="57">
        <f>(2*2.15)+((1.5*2.15)-(0.8*2.1))+(0.28*2*2.15)+(1.36*2.15)*2</f>
        <v>12.896999999999998</v>
      </c>
      <c r="J261" s="14" t="s">
        <v>733</v>
      </c>
      <c r="K261" s="13"/>
      <c r="L261" s="13"/>
      <c r="M261" s="13"/>
      <c r="N261" s="13"/>
      <c r="O261" s="13"/>
      <c r="P261" s="13"/>
      <c r="Q261" s="31"/>
    </row>
    <row r="262" spans="1:17" ht="75" outlineLevel="2" x14ac:dyDescent="0.2">
      <c r="A262" s="30"/>
      <c r="B262" s="28"/>
      <c r="C262" s="30"/>
      <c r="D262" s="59" t="s">
        <v>451</v>
      </c>
      <c r="E262" s="57"/>
      <c r="F262" s="13"/>
      <c r="G262" s="13"/>
      <c r="H262" s="13"/>
      <c r="I262" s="57">
        <f>((((3.67*1.16)/2)*2)*2)+(36.02*0.6*2)+((2*2.15)+((1.5*2.15)-(0.8*2.1))+(0.28*2*2.15)+(1.36*2.15)*2)</f>
        <v>64.635400000000004</v>
      </c>
      <c r="J262" s="14" t="s">
        <v>734</v>
      </c>
      <c r="K262" s="13"/>
      <c r="L262" s="13"/>
      <c r="M262" s="13"/>
      <c r="N262" s="13"/>
      <c r="O262" s="13"/>
      <c r="P262" s="13"/>
      <c r="Q262" s="31"/>
    </row>
    <row r="263" spans="1:17" ht="45" outlineLevel="2" x14ac:dyDescent="0.2">
      <c r="A263" s="30"/>
      <c r="B263" s="28"/>
      <c r="C263" s="30"/>
      <c r="D263" s="59" t="s">
        <v>601</v>
      </c>
      <c r="E263" s="57"/>
      <c r="F263" s="13"/>
      <c r="G263" s="13"/>
      <c r="H263" s="13"/>
      <c r="I263" s="57">
        <f>((((3.67*1.16)/2)*2)*2)+(28.68*0.6*2)</f>
        <v>42.930399999999992</v>
      </c>
      <c r="J263" s="14" t="s">
        <v>732</v>
      </c>
      <c r="K263" s="13"/>
      <c r="L263" s="13"/>
      <c r="M263" s="13"/>
      <c r="N263" s="13"/>
      <c r="O263" s="13"/>
      <c r="P263" s="13"/>
      <c r="Q263" s="31"/>
    </row>
    <row r="264" spans="1:17" ht="60" outlineLevel="2" x14ac:dyDescent="0.2">
      <c r="A264" s="30"/>
      <c r="B264" s="28"/>
      <c r="C264" s="30"/>
      <c r="D264" s="59" t="s">
        <v>409</v>
      </c>
      <c r="E264" s="57"/>
      <c r="F264" s="13"/>
      <c r="G264" s="13"/>
      <c r="H264" s="13"/>
      <c r="I264" s="57">
        <f>(((0.17+1)*2.4)*3+1.2*2.6)+(((0.17+1)*2.4)*3+1.2*2.6)</f>
        <v>23.088000000000001</v>
      </c>
      <c r="J264" s="14" t="s">
        <v>602</v>
      </c>
      <c r="K264" s="13"/>
      <c r="L264" s="13"/>
      <c r="M264" s="13"/>
      <c r="N264" s="13"/>
      <c r="O264" s="13"/>
      <c r="P264" s="13"/>
      <c r="Q264" s="31"/>
    </row>
    <row r="265" spans="1:17" ht="15" outlineLevel="2" x14ac:dyDescent="0.2">
      <c r="A265" s="30"/>
      <c r="B265" s="28"/>
      <c r="C265" s="30"/>
      <c r="D265" s="59"/>
      <c r="E265" s="57"/>
      <c r="F265" s="13"/>
      <c r="G265" s="13"/>
      <c r="H265" s="13"/>
      <c r="I265" s="57"/>
      <c r="J265" s="14"/>
      <c r="K265" s="13"/>
      <c r="L265" s="13"/>
      <c r="M265" s="13"/>
      <c r="N265" s="13"/>
      <c r="O265" s="13"/>
      <c r="P265" s="13"/>
      <c r="Q265" s="31"/>
    </row>
    <row r="266" spans="1:17" ht="78.75" outlineLevel="2" x14ac:dyDescent="0.2">
      <c r="A266" s="30">
        <v>70102</v>
      </c>
      <c r="B266" s="28"/>
      <c r="C266" s="30">
        <v>920783</v>
      </c>
      <c r="D266" s="37" t="s">
        <v>117</v>
      </c>
      <c r="E266" s="57" t="s">
        <v>10</v>
      </c>
      <c r="F266" s="13"/>
      <c r="G266" s="13">
        <v>0</v>
      </c>
      <c r="H266" s="13">
        <v>0</v>
      </c>
      <c r="I266" s="57">
        <v>85.5</v>
      </c>
      <c r="J266" s="13"/>
      <c r="K266" s="13"/>
      <c r="L266" s="13">
        <v>107.44</v>
      </c>
      <c r="M266" s="13">
        <v>8932.56</v>
      </c>
      <c r="N266" s="13">
        <v>0</v>
      </c>
      <c r="O266" s="13">
        <v>0</v>
      </c>
      <c r="P266" s="13">
        <v>0</v>
      </c>
      <c r="Q266" s="31">
        <f>PRODUCT(K266,L266)</f>
        <v>107.44</v>
      </c>
    </row>
    <row r="267" spans="1:17" ht="30" outlineLevel="2" x14ac:dyDescent="0.2">
      <c r="A267" s="30"/>
      <c r="B267" s="28"/>
      <c r="C267" s="30"/>
      <c r="D267" s="59" t="s">
        <v>414</v>
      </c>
      <c r="E267" s="57"/>
      <c r="F267" s="13"/>
      <c r="G267" s="13"/>
      <c r="H267" s="13"/>
      <c r="I267" s="57">
        <f>2*1.2*2</f>
        <v>4.8</v>
      </c>
      <c r="J267" s="14" t="s">
        <v>661</v>
      </c>
      <c r="K267" s="13"/>
      <c r="L267" s="13"/>
      <c r="M267" s="13"/>
      <c r="N267" s="13"/>
      <c r="O267" s="13"/>
      <c r="P267" s="13"/>
      <c r="Q267" s="31"/>
    </row>
    <row r="268" spans="1:17" ht="30" outlineLevel="2" x14ac:dyDescent="0.2">
      <c r="A268" s="30"/>
      <c r="B268" s="28"/>
      <c r="C268" s="30"/>
      <c r="D268" s="59" t="s">
        <v>404</v>
      </c>
      <c r="E268" s="57"/>
      <c r="F268" s="13"/>
      <c r="G268" s="13"/>
      <c r="H268" s="13"/>
      <c r="I268" s="57">
        <f>(1.4*2+2.44*2+2.47)*2.55</f>
        <v>25.8825</v>
      </c>
      <c r="J268" s="14" t="s">
        <v>748</v>
      </c>
      <c r="K268" s="13"/>
      <c r="L268" s="13"/>
      <c r="M268" s="13"/>
      <c r="N268" s="13"/>
      <c r="O268" s="13"/>
      <c r="P268" s="13"/>
      <c r="Q268" s="31"/>
    </row>
    <row r="269" spans="1:17" ht="45" outlineLevel="2" x14ac:dyDescent="0.2">
      <c r="A269" s="30"/>
      <c r="B269" s="28"/>
      <c r="C269" s="30"/>
      <c r="D269" s="59" t="s">
        <v>405</v>
      </c>
      <c r="E269" s="57"/>
      <c r="F269" s="13"/>
      <c r="G269" s="13"/>
      <c r="H269" s="13"/>
      <c r="I269" s="57">
        <f>(9.45+2.4*2)*2.55</f>
        <v>36.337499999999999</v>
      </c>
      <c r="J269" s="14" t="s">
        <v>706</v>
      </c>
      <c r="K269" s="13"/>
      <c r="L269" s="13"/>
      <c r="M269" s="13"/>
      <c r="N269" s="13"/>
      <c r="O269" s="13"/>
      <c r="P269" s="13"/>
      <c r="Q269" s="31"/>
    </row>
    <row r="270" spans="1:17" ht="75" outlineLevel="2" x14ac:dyDescent="0.2">
      <c r="A270" s="30"/>
      <c r="B270" s="28"/>
      <c r="C270" s="30"/>
      <c r="D270" s="59" t="s">
        <v>406</v>
      </c>
      <c r="E270" s="57"/>
      <c r="F270" s="13"/>
      <c r="G270" s="13"/>
      <c r="H270" s="13"/>
      <c r="I270" s="57">
        <f>(2*1.2*2)+((2.05+0.96+1.47+1.09)*2.1 )</f>
        <v>16.497</v>
      </c>
      <c r="J270" s="14" t="s">
        <v>707</v>
      </c>
      <c r="K270" s="13"/>
      <c r="L270" s="13"/>
      <c r="M270" s="13"/>
      <c r="N270" s="13"/>
      <c r="O270" s="13"/>
      <c r="P270" s="13"/>
      <c r="Q270" s="31"/>
    </row>
    <row r="271" spans="1:17" ht="15" outlineLevel="2" x14ac:dyDescent="0.2">
      <c r="A271" s="30">
        <v>80101</v>
      </c>
      <c r="B271" s="28"/>
      <c r="C271" s="30">
        <v>925320</v>
      </c>
      <c r="D271" s="59" t="s">
        <v>526</v>
      </c>
      <c r="E271" s="57" t="s">
        <v>10</v>
      </c>
      <c r="F271" s="13"/>
      <c r="G271" s="13">
        <v>0</v>
      </c>
      <c r="H271" s="13">
        <v>2227.4499999999998</v>
      </c>
      <c r="I271" s="57">
        <f>I272+I273+I274+I276</f>
        <v>850.13</v>
      </c>
      <c r="J271" s="13"/>
      <c r="K271" s="13"/>
      <c r="L271" s="13">
        <v>20.79</v>
      </c>
      <c r="M271" s="13">
        <v>46308.68</v>
      </c>
      <c r="N271" s="13">
        <v>0</v>
      </c>
      <c r="O271" s="13">
        <v>46308.68</v>
      </c>
      <c r="P271" s="13">
        <v>46308.68</v>
      </c>
      <c r="Q271" s="31">
        <f>PRODUCT(K271,L271)</f>
        <v>20.79</v>
      </c>
    </row>
    <row r="272" spans="1:17" ht="195" outlineLevel="2" x14ac:dyDescent="0.2">
      <c r="A272" s="30"/>
      <c r="B272" s="28"/>
      <c r="C272" s="30"/>
      <c r="D272" s="59"/>
      <c r="E272" s="57"/>
      <c r="F272" s="13"/>
      <c r="G272" s="13"/>
      <c r="H272" s="13"/>
      <c r="I272" s="57">
        <f>12+4.65*2+8.2+15.27+11.33+27.83+29.5+12.72+38+24.53</f>
        <v>188.67999999999998</v>
      </c>
      <c r="J272" s="14" t="s">
        <v>659</v>
      </c>
      <c r="K272" s="13"/>
      <c r="L272" s="13"/>
      <c r="M272" s="13"/>
      <c r="N272" s="13"/>
      <c r="O272" s="13"/>
      <c r="P272" s="13"/>
      <c r="Q272" s="31"/>
    </row>
    <row r="273" spans="1:17" ht="90" outlineLevel="2" x14ac:dyDescent="0.2">
      <c r="A273" s="30"/>
      <c r="B273" s="28"/>
      <c r="C273" s="30"/>
      <c r="D273" s="59"/>
      <c r="E273" s="57"/>
      <c r="F273" s="13"/>
      <c r="G273" s="13"/>
      <c r="H273" s="13"/>
      <c r="I273" s="57">
        <f>225.08+14.8+31.2+8.35+7.22</f>
        <v>286.65000000000009</v>
      </c>
      <c r="J273" s="14" t="s">
        <v>658</v>
      </c>
      <c r="K273" s="13"/>
      <c r="L273" s="13"/>
      <c r="M273" s="13"/>
      <c r="N273" s="13"/>
      <c r="O273" s="13"/>
      <c r="P273" s="13"/>
      <c r="Q273" s="31"/>
    </row>
    <row r="274" spans="1:17" ht="60" outlineLevel="2" x14ac:dyDescent="0.2">
      <c r="A274" s="30"/>
      <c r="B274" s="28"/>
      <c r="C274" s="30"/>
      <c r="D274" s="55"/>
      <c r="E274" s="57"/>
      <c r="F274" s="13"/>
      <c r="G274" s="13"/>
      <c r="H274" s="13"/>
      <c r="I274" s="57">
        <f>25.4*2</f>
        <v>50.8</v>
      </c>
      <c r="J274" s="14" t="s">
        <v>657</v>
      </c>
      <c r="K274" s="13"/>
      <c r="L274" s="13"/>
      <c r="M274" s="13"/>
      <c r="N274" s="13"/>
      <c r="O274" s="13"/>
      <c r="P274" s="13"/>
      <c r="Q274" s="31"/>
    </row>
    <row r="275" spans="1:17" ht="15" outlineLevel="2" x14ac:dyDescent="0.2">
      <c r="A275" s="30"/>
      <c r="B275" s="28"/>
      <c r="C275" s="30"/>
      <c r="D275" s="55"/>
      <c r="E275" s="57"/>
      <c r="F275" s="13"/>
      <c r="G275" s="13"/>
      <c r="H275" s="13"/>
      <c r="I275" s="57"/>
      <c r="J275" s="14"/>
      <c r="K275" s="13"/>
      <c r="L275" s="13"/>
      <c r="M275" s="13"/>
      <c r="N275" s="13"/>
      <c r="O275" s="13"/>
      <c r="P275" s="13"/>
      <c r="Q275" s="31"/>
    </row>
    <row r="276" spans="1:17" ht="45" outlineLevel="2" x14ac:dyDescent="0.2">
      <c r="A276" s="30"/>
      <c r="B276" s="28"/>
      <c r="C276" s="30"/>
      <c r="D276" s="55"/>
      <c r="E276" s="57"/>
      <c r="F276" s="13"/>
      <c r="G276" s="13"/>
      <c r="H276" s="13"/>
      <c r="I276" s="57">
        <f>3.6*3.6*25</f>
        <v>324</v>
      </c>
      <c r="J276" s="14" t="s">
        <v>656</v>
      </c>
      <c r="K276" s="13"/>
      <c r="L276" s="13"/>
      <c r="M276" s="13"/>
      <c r="N276" s="13"/>
      <c r="O276" s="13"/>
      <c r="P276" s="13"/>
      <c r="Q276" s="31"/>
    </row>
    <row r="277" spans="1:17" ht="15" outlineLevel="2" x14ac:dyDescent="0.2">
      <c r="A277" s="30"/>
      <c r="B277" s="28"/>
      <c r="C277" s="30"/>
      <c r="D277" s="55"/>
      <c r="E277" s="57"/>
      <c r="F277" s="13"/>
      <c r="G277" s="13"/>
      <c r="H277" s="13"/>
      <c r="I277" s="57"/>
      <c r="J277" s="14"/>
      <c r="K277" s="13"/>
      <c r="L277" s="13"/>
      <c r="M277" s="13"/>
      <c r="N277" s="13"/>
      <c r="O277" s="13"/>
      <c r="P277" s="13"/>
      <c r="Q277" s="31"/>
    </row>
    <row r="278" spans="1:17" ht="15.75" outlineLevel="2" x14ac:dyDescent="0.2">
      <c r="A278" s="30"/>
      <c r="B278" s="28"/>
      <c r="C278" s="30"/>
      <c r="D278" s="58" t="s">
        <v>660</v>
      </c>
      <c r="E278" s="57" t="s">
        <v>10</v>
      </c>
      <c r="F278" s="49"/>
      <c r="G278" s="49"/>
      <c r="H278" s="49"/>
      <c r="I278" s="57">
        <f>(((16.35*0.87)+(8.3*1)+(14.75*0.56)+(3.98*0.7*2)+(6.45*0.7*2))+((4.8*1.8)+(3.2*0.85)+(8.37*0.8))+((23.15*0.6)+(10.75*0.7*2)+(12*0.5)+(11.04*0.6)+(4.49*2.16)+(20.8*1.2))+((10.75*0.71)+(7.08*0.49)+(4.68*0.86)+(12.12*1)+(10.8*1))+((23.64*0.7*2)+(2.72*0.7)+(2.04*0.7)+(1.44*0.7)+(1.27*0.7*2)+(2.65*0.7))+((12.12*1)+(37.25*1.86)+(10.14*1)*2)+((28.68*1.86)+(12.12*0.88*2))+((10.045*0.525*2)+(6.57*0.525*2)))</f>
        <v>412.58714999999989</v>
      </c>
      <c r="J278" s="50"/>
      <c r="K278" s="13"/>
      <c r="L278" s="13"/>
      <c r="M278" s="13"/>
      <c r="N278" s="13"/>
      <c r="O278" s="13"/>
      <c r="P278" s="13"/>
      <c r="Q278" s="31"/>
    </row>
    <row r="279" spans="1:17" ht="306.75" outlineLevel="2" x14ac:dyDescent="0.2">
      <c r="A279" s="30"/>
      <c r="B279" s="28"/>
      <c r="C279" s="30"/>
      <c r="D279" s="59"/>
      <c r="E279" s="57"/>
      <c r="F279" s="13"/>
      <c r="G279" s="13"/>
      <c r="H279" s="13"/>
      <c r="I279" s="57"/>
      <c r="J279" s="14" t="s">
        <v>759</v>
      </c>
      <c r="K279" s="49"/>
      <c r="L279" s="13"/>
      <c r="M279" s="13"/>
      <c r="N279" s="13"/>
      <c r="O279" s="13"/>
      <c r="P279" s="13"/>
      <c r="Q279" s="31"/>
    </row>
    <row r="280" spans="1:17" ht="75" outlineLevel="2" x14ac:dyDescent="0.2">
      <c r="A280" s="30">
        <v>80102</v>
      </c>
      <c r="B280" s="28"/>
      <c r="C280" s="30">
        <v>924607</v>
      </c>
      <c r="D280" s="59" t="s">
        <v>120</v>
      </c>
      <c r="E280" s="57" t="s">
        <v>10</v>
      </c>
      <c r="F280" s="13">
        <v>2227.4499999999998</v>
      </c>
      <c r="G280" s="13">
        <v>478.7</v>
      </c>
      <c r="H280" s="13">
        <v>760.72</v>
      </c>
      <c r="I280" s="57">
        <v>1239.42</v>
      </c>
      <c r="J280" s="13"/>
      <c r="K280" s="13">
        <v>988.03</v>
      </c>
      <c r="L280" s="13">
        <v>19.39</v>
      </c>
      <c r="M280" s="13">
        <v>43190.25</v>
      </c>
      <c r="N280" s="13">
        <v>9281.99</v>
      </c>
      <c r="O280" s="13">
        <v>14750.35</v>
      </c>
      <c r="P280" s="13">
        <v>24032.34</v>
      </c>
      <c r="Q280" s="31">
        <f>PRODUCT(K280,L280)</f>
        <v>19157.901699999999</v>
      </c>
    </row>
    <row r="281" spans="1:17" ht="45" outlineLevel="2" x14ac:dyDescent="0.2">
      <c r="A281" s="30">
        <v>80103</v>
      </c>
      <c r="B281" s="28"/>
      <c r="C281" s="30">
        <v>920825</v>
      </c>
      <c r="D281" s="59" t="s">
        <v>121</v>
      </c>
      <c r="E281" s="57" t="s">
        <v>10</v>
      </c>
      <c r="F281" s="13">
        <v>1888.15</v>
      </c>
      <c r="G281" s="13">
        <v>0</v>
      </c>
      <c r="H281" s="13">
        <v>760.72</v>
      </c>
      <c r="I281" s="57">
        <v>760.72</v>
      </c>
      <c r="J281" s="13"/>
      <c r="K281" s="13">
        <v>1127.43</v>
      </c>
      <c r="L281" s="13">
        <v>8.16</v>
      </c>
      <c r="M281" s="13">
        <v>15407.3</v>
      </c>
      <c r="N281" s="13">
        <v>0</v>
      </c>
      <c r="O281" s="13">
        <v>6207.47</v>
      </c>
      <c r="P281" s="13">
        <v>6207.47</v>
      </c>
      <c r="Q281" s="31">
        <f>PRODUCT(K281,L281)</f>
        <v>9199.8288000000011</v>
      </c>
    </row>
    <row r="282" spans="1:17" ht="90" outlineLevel="2" x14ac:dyDescent="0.2">
      <c r="A282" s="30">
        <v>80104</v>
      </c>
      <c r="B282" s="28"/>
      <c r="C282" s="30">
        <v>921961</v>
      </c>
      <c r="D282" s="59" t="s">
        <v>122</v>
      </c>
      <c r="E282" s="57" t="s">
        <v>10</v>
      </c>
      <c r="F282" s="13">
        <v>242.22</v>
      </c>
      <c r="G282" s="13">
        <v>0</v>
      </c>
      <c r="H282" s="13">
        <v>0</v>
      </c>
      <c r="I282" s="57">
        <v>0</v>
      </c>
      <c r="J282" s="13"/>
      <c r="K282" s="13">
        <v>242.22</v>
      </c>
      <c r="L282" s="13">
        <v>34.4</v>
      </c>
      <c r="M282" s="13">
        <v>8332.36</v>
      </c>
      <c r="N282" s="13">
        <v>0</v>
      </c>
      <c r="O282" s="13">
        <v>0</v>
      </c>
      <c r="P282" s="13">
        <v>0</v>
      </c>
      <c r="Q282" s="31">
        <f>PRODUCT(K282,L282)</f>
        <v>8332.3680000000004</v>
      </c>
    </row>
    <row r="283" spans="1:17" ht="15" outlineLevel="2" x14ac:dyDescent="0.2">
      <c r="A283" s="30">
        <v>80105</v>
      </c>
      <c r="B283" s="28"/>
      <c r="C283" s="30">
        <v>924572</v>
      </c>
      <c r="D283" s="62"/>
      <c r="E283" s="69"/>
      <c r="F283" s="39"/>
      <c r="G283" s="39"/>
      <c r="H283" s="39"/>
      <c r="I283" s="69"/>
      <c r="J283" s="13"/>
      <c r="K283" s="13"/>
      <c r="L283" s="13">
        <v>108.28</v>
      </c>
      <c r="M283" s="13">
        <v>214960.7</v>
      </c>
      <c r="N283" s="13">
        <v>60699.6</v>
      </c>
      <c r="O283" s="13">
        <v>34160.17</v>
      </c>
      <c r="P283" s="13">
        <v>94859.77</v>
      </c>
      <c r="Q283" s="31">
        <f>PRODUCT(K283,L283)</f>
        <v>108.28</v>
      </c>
    </row>
    <row r="284" spans="1:17" ht="31.5" outlineLevel="2" x14ac:dyDescent="0.2">
      <c r="A284" s="30"/>
      <c r="B284" s="28"/>
      <c r="C284" s="30"/>
      <c r="D284" s="37" t="s">
        <v>681</v>
      </c>
      <c r="E284" s="57" t="s">
        <v>633</v>
      </c>
      <c r="F284" s="13"/>
      <c r="G284" s="13">
        <v>560.58000000000004</v>
      </c>
      <c r="H284" s="13">
        <v>315.48</v>
      </c>
      <c r="I284" s="57">
        <f>ROUND(I288+I289+I290+I291+I292+I293+I294+I295+I296+I297+I299+I300+I301+I302+I311+I317+I324+I333+I334,2)</f>
        <v>1158.23</v>
      </c>
      <c r="J284" s="13">
        <f>I284-1117.27</f>
        <v>40.960000000000036</v>
      </c>
      <c r="K284" s="13"/>
      <c r="L284" s="13"/>
      <c r="M284" s="13"/>
      <c r="N284" s="13"/>
      <c r="O284" s="13"/>
      <c r="P284" s="13"/>
      <c r="Q284" s="31"/>
    </row>
    <row r="285" spans="1:17" ht="31.5" outlineLevel="2" x14ac:dyDescent="0.2">
      <c r="A285" s="30"/>
      <c r="B285" s="28"/>
      <c r="C285" s="30"/>
      <c r="D285" s="37" t="s">
        <v>682</v>
      </c>
      <c r="E285" s="57" t="s">
        <v>633</v>
      </c>
      <c r="F285" s="13"/>
      <c r="G285" s="13">
        <v>560.58000000000004</v>
      </c>
      <c r="H285" s="13">
        <v>315.48</v>
      </c>
      <c r="I285" s="57">
        <f>I305+I306+I307+I308+I313+I314+I315+I316+I320+I321+I322+I323+I327+I328+I329+I330+I331</f>
        <v>904.24589999999966</v>
      </c>
      <c r="J285" s="13">
        <f>ROUND(I285-888.17,2)</f>
        <v>16.079999999999998</v>
      </c>
      <c r="K285" s="13"/>
      <c r="L285" s="13"/>
      <c r="M285" s="13"/>
      <c r="N285" s="13"/>
      <c r="O285" s="13"/>
      <c r="P285" s="13"/>
      <c r="Q285" s="31"/>
    </row>
    <row r="286" spans="1:17" ht="15.75" outlineLevel="2" x14ac:dyDescent="0.2">
      <c r="A286" s="30"/>
      <c r="B286" s="28"/>
      <c r="C286" s="30"/>
      <c r="D286" s="37"/>
      <c r="E286" s="57"/>
      <c r="F286" s="13"/>
      <c r="G286" s="13"/>
      <c r="H286" s="13"/>
      <c r="I286" s="57"/>
      <c r="J286" s="13"/>
      <c r="K286" s="13"/>
      <c r="L286" s="13"/>
      <c r="M286" s="13"/>
      <c r="N286" s="13"/>
      <c r="O286" s="13"/>
      <c r="P286" s="13"/>
      <c r="Q286" s="31"/>
    </row>
    <row r="287" spans="1:17" ht="15.75" outlineLevel="2" x14ac:dyDescent="0.2">
      <c r="A287" s="30"/>
      <c r="B287" s="28"/>
      <c r="C287" s="30"/>
      <c r="D287" s="37" t="s">
        <v>414</v>
      </c>
      <c r="E287" s="57"/>
      <c r="F287" s="13"/>
      <c r="G287" s="13"/>
      <c r="H287" s="13"/>
      <c r="I287" s="57"/>
      <c r="J287" s="13"/>
      <c r="K287" s="13"/>
      <c r="L287" s="13"/>
      <c r="M287" s="13"/>
      <c r="N287" s="13"/>
      <c r="O287" s="13"/>
      <c r="P287" s="13"/>
      <c r="Q287" s="31"/>
    </row>
    <row r="288" spans="1:17" ht="30" outlineLevel="2" x14ac:dyDescent="0.2">
      <c r="A288" s="30"/>
      <c r="B288" s="28"/>
      <c r="C288" s="30"/>
      <c r="D288" s="59" t="s">
        <v>646</v>
      </c>
      <c r="E288" s="57" t="s">
        <v>10</v>
      </c>
      <c r="F288" s="13"/>
      <c r="G288" s="13"/>
      <c r="H288" s="13"/>
      <c r="I288" s="57">
        <f>(6.95*2.75)</f>
        <v>19.112500000000001</v>
      </c>
      <c r="J288" s="14" t="s">
        <v>577</v>
      </c>
      <c r="K288" s="101" t="s">
        <v>647</v>
      </c>
      <c r="L288" s="13"/>
      <c r="M288" s="13"/>
      <c r="N288" s="13"/>
      <c r="O288" s="13"/>
      <c r="P288" s="13"/>
      <c r="Q288" s="31"/>
    </row>
    <row r="289" spans="1:17" ht="30" outlineLevel="2" x14ac:dyDescent="0.2">
      <c r="A289" s="30"/>
      <c r="B289" s="28"/>
      <c r="C289" s="30"/>
      <c r="D289" s="59" t="s">
        <v>468</v>
      </c>
      <c r="E289" s="57" t="s">
        <v>10</v>
      </c>
      <c r="F289" s="13"/>
      <c r="G289" s="13"/>
      <c r="H289" s="13"/>
      <c r="I289" s="57">
        <f>(2.5*12.11)+(2*4.6)</f>
        <v>39.474999999999994</v>
      </c>
      <c r="J289" s="14" t="s">
        <v>578</v>
      </c>
      <c r="K289" s="102"/>
      <c r="L289" s="13"/>
      <c r="M289" s="13"/>
      <c r="N289" s="13"/>
      <c r="O289" s="13"/>
      <c r="P289" s="13"/>
      <c r="Q289" s="31"/>
    </row>
    <row r="290" spans="1:17" ht="30" outlineLevel="2" x14ac:dyDescent="0.2">
      <c r="A290" s="30"/>
      <c r="B290" s="28"/>
      <c r="C290" s="30"/>
      <c r="D290" s="59" t="s">
        <v>469</v>
      </c>
      <c r="E290" s="57" t="s">
        <v>10</v>
      </c>
      <c r="F290" s="13"/>
      <c r="G290" s="13"/>
      <c r="H290" s="13"/>
      <c r="I290" s="57">
        <f>(3.07*3.55)+(1.05*0.85)</f>
        <v>11.790999999999999</v>
      </c>
      <c r="J290" s="14" t="s">
        <v>579</v>
      </c>
      <c r="K290" s="102"/>
      <c r="L290" s="13"/>
      <c r="M290" s="13"/>
      <c r="N290" s="13"/>
      <c r="O290" s="13"/>
      <c r="P290" s="13"/>
      <c r="Q290" s="31"/>
    </row>
    <row r="291" spans="1:17" ht="30" outlineLevel="2" x14ac:dyDescent="0.2">
      <c r="A291" s="30"/>
      <c r="B291" s="28"/>
      <c r="C291" s="30"/>
      <c r="D291" s="59" t="s">
        <v>470</v>
      </c>
      <c r="E291" s="57" t="s">
        <v>10</v>
      </c>
      <c r="F291" s="13"/>
      <c r="G291" s="13"/>
      <c r="H291" s="13"/>
      <c r="I291" s="57">
        <f>(6.74*3.55)+(4.72*0.85)</f>
        <v>27.939</v>
      </c>
      <c r="J291" s="14" t="s">
        <v>580</v>
      </c>
      <c r="K291" s="102"/>
      <c r="L291" s="13"/>
      <c r="M291" s="13"/>
      <c r="N291" s="13"/>
      <c r="O291" s="13"/>
      <c r="P291" s="13"/>
      <c r="Q291" s="31"/>
    </row>
    <row r="292" spans="1:17" ht="30" outlineLevel="2" x14ac:dyDescent="0.2">
      <c r="A292" s="30"/>
      <c r="B292" s="28"/>
      <c r="C292" s="30"/>
      <c r="D292" s="59" t="s">
        <v>471</v>
      </c>
      <c r="E292" s="57" t="s">
        <v>10</v>
      </c>
      <c r="F292" s="13"/>
      <c r="G292" s="13"/>
      <c r="H292" s="13"/>
      <c r="I292" s="57">
        <f>(7.75*2.75)</f>
        <v>21.3125</v>
      </c>
      <c r="J292" s="14" t="s">
        <v>481</v>
      </c>
      <c r="K292" s="102"/>
      <c r="L292" s="13"/>
      <c r="M292" s="13"/>
      <c r="N292" s="13"/>
      <c r="O292" s="13"/>
      <c r="P292" s="13"/>
      <c r="Q292" s="31"/>
    </row>
    <row r="293" spans="1:17" ht="30" outlineLevel="2" x14ac:dyDescent="0.2">
      <c r="A293" s="30"/>
      <c r="B293" s="28"/>
      <c r="C293" s="30"/>
      <c r="D293" s="59" t="s">
        <v>472</v>
      </c>
      <c r="E293" s="57" t="s">
        <v>10</v>
      </c>
      <c r="F293" s="13"/>
      <c r="G293" s="13"/>
      <c r="H293" s="13"/>
      <c r="I293" s="57">
        <f>(2.6*4.39)</f>
        <v>11.414</v>
      </c>
      <c r="J293" s="14" t="s">
        <v>482</v>
      </c>
      <c r="K293" s="102"/>
      <c r="L293" s="13"/>
      <c r="M293" s="13"/>
      <c r="N293" s="13"/>
      <c r="O293" s="13"/>
      <c r="P293" s="13"/>
      <c r="Q293" s="31"/>
    </row>
    <row r="294" spans="1:17" ht="30" outlineLevel="2" x14ac:dyDescent="0.2">
      <c r="A294" s="30"/>
      <c r="B294" s="28"/>
      <c r="C294" s="30"/>
      <c r="D294" s="59" t="s">
        <v>473</v>
      </c>
      <c r="E294" s="57" t="s">
        <v>10</v>
      </c>
      <c r="F294" s="13"/>
      <c r="G294" s="13"/>
      <c r="H294" s="13"/>
      <c r="I294" s="57">
        <f>(3.05*1.6)</f>
        <v>4.88</v>
      </c>
      <c r="J294" s="14" t="s">
        <v>483</v>
      </c>
      <c r="K294" s="102"/>
      <c r="L294" s="13"/>
      <c r="M294" s="13"/>
      <c r="N294" s="13"/>
      <c r="O294" s="13"/>
      <c r="P294" s="13"/>
      <c r="Q294" s="31"/>
    </row>
    <row r="295" spans="1:17" ht="30" outlineLevel="2" x14ac:dyDescent="0.2">
      <c r="A295" s="30"/>
      <c r="B295" s="28"/>
      <c r="C295" s="30"/>
      <c r="D295" s="59" t="s">
        <v>474</v>
      </c>
      <c r="E295" s="57" t="s">
        <v>10</v>
      </c>
      <c r="F295" s="13"/>
      <c r="G295" s="13"/>
      <c r="H295" s="13"/>
      <c r="I295" s="57">
        <f>(1.85*4.4)</f>
        <v>8.14</v>
      </c>
      <c r="J295" s="14" t="s">
        <v>484</v>
      </c>
      <c r="K295" s="102"/>
      <c r="L295" s="13"/>
      <c r="M295" s="13"/>
      <c r="N295" s="13"/>
      <c r="O295" s="13"/>
      <c r="P295" s="13"/>
      <c r="Q295" s="31"/>
    </row>
    <row r="296" spans="1:17" ht="30" outlineLevel="2" x14ac:dyDescent="0.2">
      <c r="A296" s="30"/>
      <c r="B296" s="28"/>
      <c r="C296" s="30"/>
      <c r="D296" s="59" t="s">
        <v>475</v>
      </c>
      <c r="E296" s="57" t="s">
        <v>10</v>
      </c>
      <c r="F296" s="13"/>
      <c r="G296" s="13"/>
      <c r="H296" s="13"/>
      <c r="I296" s="57">
        <f>(3.46*4.4)</f>
        <v>15.224</v>
      </c>
      <c r="J296" s="14" t="s">
        <v>485</v>
      </c>
      <c r="K296" s="102"/>
      <c r="L296" s="13"/>
      <c r="M296" s="13"/>
      <c r="N296" s="13"/>
      <c r="O296" s="13"/>
      <c r="P296" s="13"/>
      <c r="Q296" s="31"/>
    </row>
    <row r="297" spans="1:17" ht="30" outlineLevel="2" x14ac:dyDescent="0.2">
      <c r="A297" s="30"/>
      <c r="B297" s="28"/>
      <c r="C297" s="30"/>
      <c r="D297" s="59" t="s">
        <v>476</v>
      </c>
      <c r="E297" s="57" t="s">
        <v>10</v>
      </c>
      <c r="F297" s="13"/>
      <c r="G297" s="13"/>
      <c r="H297" s="13"/>
      <c r="I297" s="57">
        <f>(7.43*2.5)</f>
        <v>18.574999999999999</v>
      </c>
      <c r="J297" s="14" t="s">
        <v>486</v>
      </c>
      <c r="K297" s="103"/>
      <c r="L297" s="13"/>
      <c r="M297" s="13"/>
      <c r="N297" s="13"/>
      <c r="O297" s="13"/>
      <c r="P297" s="13"/>
      <c r="Q297" s="31"/>
    </row>
    <row r="298" spans="1:17" ht="15.75" outlineLevel="2" x14ac:dyDescent="0.2">
      <c r="A298" s="30"/>
      <c r="B298" s="28"/>
      <c r="C298" s="30"/>
      <c r="D298" s="37" t="s">
        <v>404</v>
      </c>
      <c r="E298" s="57"/>
      <c r="F298" s="13"/>
      <c r="G298" s="13"/>
      <c r="H298" s="13"/>
      <c r="I298" s="57"/>
      <c r="J298" s="13"/>
      <c r="K298" s="13"/>
      <c r="L298" s="13"/>
      <c r="M298" s="13"/>
      <c r="N298" s="13"/>
      <c r="O298" s="13"/>
      <c r="P298" s="13"/>
      <c r="Q298" s="31"/>
    </row>
    <row r="299" spans="1:17" ht="30" outlineLevel="2" x14ac:dyDescent="0.2">
      <c r="A299" s="30"/>
      <c r="B299" s="28"/>
      <c r="C299" s="30"/>
      <c r="D299" s="59" t="s">
        <v>477</v>
      </c>
      <c r="E299" s="57" t="s">
        <v>10</v>
      </c>
      <c r="F299" s="13"/>
      <c r="G299" s="13"/>
      <c r="H299" s="13"/>
      <c r="I299" s="57">
        <f>(((5.6+4.79)*0.8)/2)+(8.35*6.55)+(1.2*0.8)</f>
        <v>59.808499999999995</v>
      </c>
      <c r="J299" s="14" t="s">
        <v>497</v>
      </c>
      <c r="K299" s="94" t="s">
        <v>647</v>
      </c>
      <c r="L299" s="13"/>
      <c r="M299" s="13"/>
      <c r="N299" s="13"/>
      <c r="O299" s="13"/>
      <c r="P299" s="13"/>
      <c r="Q299" s="31"/>
    </row>
    <row r="300" spans="1:17" ht="30" outlineLevel="2" x14ac:dyDescent="0.2">
      <c r="A300" s="30"/>
      <c r="B300" s="28"/>
      <c r="C300" s="30"/>
      <c r="D300" s="59" t="s">
        <v>478</v>
      </c>
      <c r="E300" s="57" t="s">
        <v>10</v>
      </c>
      <c r="F300" s="13"/>
      <c r="G300" s="13"/>
      <c r="H300" s="13"/>
      <c r="I300" s="57">
        <f>((1*0.8)*2)+(3.5*5.7)+(3.35*0.8)+(5.75*0.15)</f>
        <v>25.092500000000001</v>
      </c>
      <c r="J300" s="14" t="s">
        <v>496</v>
      </c>
      <c r="K300" s="95"/>
      <c r="L300" s="13"/>
      <c r="M300" s="13"/>
      <c r="N300" s="13"/>
      <c r="O300" s="13"/>
      <c r="P300" s="13"/>
      <c r="Q300" s="31"/>
    </row>
    <row r="301" spans="1:17" ht="30" outlineLevel="2" x14ac:dyDescent="0.2">
      <c r="A301" s="30"/>
      <c r="B301" s="28"/>
      <c r="C301" s="30"/>
      <c r="D301" s="59" t="s">
        <v>479</v>
      </c>
      <c r="E301" s="57" t="s">
        <v>10</v>
      </c>
      <c r="F301" s="13"/>
      <c r="G301" s="13"/>
      <c r="H301" s="13"/>
      <c r="I301" s="57">
        <f>(((8.01+7.21)*0.8)/2)+(9.49*6.58)</f>
        <v>68.532200000000003</v>
      </c>
      <c r="J301" s="14" t="s">
        <v>495</v>
      </c>
      <c r="K301" s="95"/>
      <c r="L301" s="13"/>
      <c r="M301" s="13"/>
      <c r="N301" s="13"/>
      <c r="O301" s="13"/>
      <c r="P301" s="13"/>
      <c r="Q301" s="31"/>
    </row>
    <row r="302" spans="1:17" ht="30" outlineLevel="2" x14ac:dyDescent="0.2">
      <c r="A302" s="30"/>
      <c r="B302" s="28"/>
      <c r="C302" s="30"/>
      <c r="D302" s="59" t="s">
        <v>480</v>
      </c>
      <c r="E302" s="57" t="s">
        <v>10</v>
      </c>
      <c r="F302" s="13"/>
      <c r="G302" s="13"/>
      <c r="H302" s="13"/>
      <c r="I302" s="57">
        <f>(2.63*21.95)+((((2.15+1.35)*0.8)/2)*2)+(1.08*0.8)</f>
        <v>61.392499999999991</v>
      </c>
      <c r="J302" s="14" t="s">
        <v>494</v>
      </c>
      <c r="K302" s="96"/>
      <c r="L302" s="13"/>
      <c r="M302" s="13"/>
      <c r="N302" s="13"/>
      <c r="O302" s="13"/>
      <c r="P302" s="13"/>
      <c r="Q302" s="31"/>
    </row>
    <row r="303" spans="1:17" ht="15.75" outlineLevel="2" x14ac:dyDescent="0.2">
      <c r="A303" s="30"/>
      <c r="B303" s="28"/>
      <c r="C303" s="30"/>
      <c r="D303" s="37"/>
      <c r="E303" s="57"/>
      <c r="F303" s="13"/>
      <c r="G303" s="13"/>
      <c r="H303" s="13"/>
      <c r="I303" s="57"/>
      <c r="J303" s="13"/>
      <c r="K303" s="13"/>
      <c r="L303" s="13"/>
      <c r="M303" s="13"/>
      <c r="N303" s="13"/>
      <c r="O303" s="13"/>
      <c r="P303" s="13"/>
      <c r="Q303" s="31"/>
    </row>
    <row r="304" spans="1:17" ht="15.75" outlineLevel="2" x14ac:dyDescent="0.2">
      <c r="A304" s="30"/>
      <c r="B304" s="28"/>
      <c r="C304" s="30"/>
      <c r="D304" s="37" t="s">
        <v>405</v>
      </c>
      <c r="E304" s="57"/>
      <c r="F304" s="13"/>
      <c r="G304" s="13"/>
      <c r="H304" s="13"/>
      <c r="I304" s="57"/>
      <c r="J304" s="13"/>
      <c r="K304" s="13"/>
      <c r="L304" s="13"/>
      <c r="M304" s="13"/>
      <c r="N304" s="13"/>
      <c r="O304" s="13"/>
      <c r="P304" s="13"/>
      <c r="Q304" s="31"/>
    </row>
    <row r="305" spans="1:17" ht="30" outlineLevel="2" x14ac:dyDescent="0.2">
      <c r="A305" s="30"/>
      <c r="B305" s="28"/>
      <c r="C305" s="30"/>
      <c r="D305" s="59" t="s">
        <v>487</v>
      </c>
      <c r="E305" s="57" t="s">
        <v>10</v>
      </c>
      <c r="F305" s="13"/>
      <c r="G305" s="13"/>
      <c r="H305" s="13"/>
      <c r="I305" s="57">
        <f>(6.45*7.09)+(((5.61+4.82)*0.8)/2)</f>
        <v>49.902499999999996</v>
      </c>
      <c r="J305" s="14" t="s">
        <v>490</v>
      </c>
      <c r="K305" s="104" t="s">
        <v>648</v>
      </c>
      <c r="L305" s="13"/>
      <c r="M305" s="13"/>
      <c r="N305" s="13"/>
      <c r="O305" s="13"/>
      <c r="P305" s="13"/>
      <c r="Q305" s="31"/>
    </row>
    <row r="306" spans="1:17" ht="30" outlineLevel="2" x14ac:dyDescent="0.2">
      <c r="A306" s="30"/>
      <c r="B306" s="28"/>
      <c r="C306" s="30"/>
      <c r="D306" s="59" t="s">
        <v>488</v>
      </c>
      <c r="E306" s="57" t="s">
        <v>10</v>
      </c>
      <c r="F306" s="13"/>
      <c r="G306" s="13"/>
      <c r="H306" s="13"/>
      <c r="I306" s="57">
        <f>(6.58*9.47)+(((7.99+7.19)*0.8)/2)</f>
        <v>68.384600000000006</v>
      </c>
      <c r="J306" s="14" t="s">
        <v>493</v>
      </c>
      <c r="K306" s="104"/>
      <c r="L306" s="13"/>
      <c r="M306" s="13"/>
      <c r="N306" s="13"/>
      <c r="O306" s="13"/>
      <c r="P306" s="13"/>
      <c r="Q306" s="31"/>
    </row>
    <row r="307" spans="1:17" ht="30" outlineLevel="2" x14ac:dyDescent="0.2">
      <c r="A307" s="30"/>
      <c r="B307" s="28"/>
      <c r="C307" s="30"/>
      <c r="D307" s="59" t="s">
        <v>489</v>
      </c>
      <c r="E307" s="57" t="s">
        <v>10</v>
      </c>
      <c r="F307" s="13"/>
      <c r="G307" s="13"/>
      <c r="H307" s="13"/>
      <c r="I307" s="57">
        <f>(6.55*4.69)+(((3.21+2.41)*0.8)/2)</f>
        <v>32.967500000000001</v>
      </c>
      <c r="J307" s="14" t="s">
        <v>492</v>
      </c>
      <c r="K307" s="104"/>
      <c r="L307" s="13"/>
      <c r="M307" s="13"/>
      <c r="N307" s="13"/>
      <c r="O307" s="13"/>
      <c r="P307" s="13"/>
      <c r="Q307" s="31"/>
    </row>
    <row r="308" spans="1:17" ht="30" outlineLevel="2" x14ac:dyDescent="0.2">
      <c r="A308" s="30"/>
      <c r="B308" s="28"/>
      <c r="C308" s="30"/>
      <c r="D308" s="59" t="s">
        <v>480</v>
      </c>
      <c r="E308" s="57" t="s">
        <v>10</v>
      </c>
      <c r="F308" s="13"/>
      <c r="G308" s="13"/>
      <c r="H308" s="13"/>
      <c r="I308" s="57">
        <f>(2.63*21.95)+((((2.15+1.35)*0.8)/2)*3)</f>
        <v>61.9285</v>
      </c>
      <c r="J308" s="14" t="s">
        <v>491</v>
      </c>
      <c r="K308" s="104"/>
      <c r="L308" s="13"/>
      <c r="M308" s="13"/>
      <c r="N308" s="13"/>
      <c r="O308" s="13"/>
      <c r="P308" s="13"/>
      <c r="Q308" s="31"/>
    </row>
    <row r="309" spans="1:17" ht="15" outlineLevel="2" x14ac:dyDescent="0.2">
      <c r="A309" s="30"/>
      <c r="B309" s="28"/>
      <c r="C309" s="30"/>
      <c r="D309" s="59"/>
      <c r="E309" s="57"/>
      <c r="F309" s="13"/>
      <c r="G309" s="13"/>
      <c r="H309" s="13"/>
      <c r="I309" s="57"/>
      <c r="J309" s="14"/>
      <c r="K309" s="53"/>
      <c r="L309" s="13"/>
      <c r="M309" s="13"/>
      <c r="N309" s="13"/>
      <c r="O309" s="13"/>
      <c r="P309" s="13"/>
      <c r="Q309" s="31"/>
    </row>
    <row r="310" spans="1:17" ht="15.75" outlineLevel="2" x14ac:dyDescent="0.2">
      <c r="A310" s="30"/>
      <c r="B310" s="28"/>
      <c r="C310" s="30"/>
      <c r="D310" s="37" t="s">
        <v>406</v>
      </c>
      <c r="E310" s="57"/>
      <c r="F310" s="13"/>
      <c r="G310" s="13"/>
      <c r="H310" s="13"/>
      <c r="I310" s="57"/>
      <c r="J310" s="13"/>
      <c r="K310" s="53"/>
      <c r="L310" s="13"/>
      <c r="M310" s="13"/>
      <c r="N310" s="13"/>
      <c r="O310" s="13"/>
      <c r="P310" s="13"/>
      <c r="Q310" s="31"/>
    </row>
    <row r="311" spans="1:17" ht="30" outlineLevel="2" x14ac:dyDescent="0.2">
      <c r="A311" s="30"/>
      <c r="B311" s="28"/>
      <c r="C311" s="30"/>
      <c r="D311" s="59" t="s">
        <v>504</v>
      </c>
      <c r="E311" s="57"/>
      <c r="F311" s="13"/>
      <c r="G311" s="13"/>
      <c r="H311" s="13"/>
      <c r="I311" s="57">
        <f>(18.12*12.45)</f>
        <v>225.59399999999999</v>
      </c>
      <c r="J311" s="14" t="s">
        <v>649</v>
      </c>
      <c r="K311" s="52" t="s">
        <v>650</v>
      </c>
      <c r="L311" s="13"/>
      <c r="M311" s="13"/>
      <c r="N311" s="13"/>
      <c r="O311" s="13"/>
      <c r="P311" s="13"/>
      <c r="Q311" s="31"/>
    </row>
    <row r="312" spans="1:17" ht="15.75" outlineLevel="2" x14ac:dyDescent="0.2">
      <c r="A312" s="30"/>
      <c r="B312" s="28"/>
      <c r="C312" s="30"/>
      <c r="D312" s="37" t="s">
        <v>465</v>
      </c>
      <c r="E312" s="57"/>
      <c r="F312" s="13"/>
      <c r="G312" s="13"/>
      <c r="H312" s="13"/>
      <c r="I312" s="57"/>
      <c r="J312" s="13"/>
      <c r="K312" s="13"/>
      <c r="L312" s="13"/>
      <c r="M312" s="13"/>
      <c r="N312" s="13"/>
      <c r="O312" s="13"/>
      <c r="P312" s="13"/>
      <c r="Q312" s="31"/>
    </row>
    <row r="313" spans="1:17" ht="30" outlineLevel="2" x14ac:dyDescent="0.2">
      <c r="A313" s="30"/>
      <c r="B313" s="28"/>
      <c r="C313" s="30"/>
      <c r="D313" s="59" t="s">
        <v>505</v>
      </c>
      <c r="E313" s="57"/>
      <c r="F313" s="13"/>
      <c r="G313" s="13"/>
      <c r="H313" s="13"/>
      <c r="I313" s="57">
        <f>(((4.81+5.61)*0.8)/2)+(7.09*6.57)</f>
        <v>50.749299999999998</v>
      </c>
      <c r="J313" s="14" t="s">
        <v>508</v>
      </c>
      <c r="K313" s="104" t="s">
        <v>648</v>
      </c>
      <c r="L313" s="13"/>
      <c r="M313" s="13"/>
      <c r="N313" s="13"/>
      <c r="O313" s="13"/>
      <c r="P313" s="13"/>
      <c r="Q313" s="31"/>
    </row>
    <row r="314" spans="1:17" ht="30" outlineLevel="2" x14ac:dyDescent="0.2">
      <c r="A314" s="30"/>
      <c r="B314" s="28"/>
      <c r="C314" s="30"/>
      <c r="D314" s="59" t="s">
        <v>505</v>
      </c>
      <c r="E314" s="57"/>
      <c r="F314" s="13"/>
      <c r="G314" s="13"/>
      <c r="H314" s="13"/>
      <c r="I314" s="57">
        <f>(((4.81+5.61)*0.8)/2)+(7.09*6.57)</f>
        <v>50.749299999999998</v>
      </c>
      <c r="J314" s="14" t="s">
        <v>508</v>
      </c>
      <c r="K314" s="104"/>
      <c r="L314" s="13"/>
      <c r="M314" s="13"/>
      <c r="N314" s="13"/>
      <c r="O314" s="13"/>
      <c r="P314" s="13"/>
      <c r="Q314" s="31"/>
    </row>
    <row r="315" spans="1:17" ht="30" outlineLevel="2" x14ac:dyDescent="0.2">
      <c r="A315" s="30"/>
      <c r="B315" s="28"/>
      <c r="C315" s="30"/>
      <c r="D315" s="59" t="s">
        <v>505</v>
      </c>
      <c r="E315" s="57"/>
      <c r="F315" s="13"/>
      <c r="G315" s="13"/>
      <c r="H315" s="13"/>
      <c r="I315" s="57">
        <f>(((4.81+5.61)*0.8)/2)+(7.09*6.57)</f>
        <v>50.749299999999998</v>
      </c>
      <c r="J315" s="14" t="s">
        <v>508</v>
      </c>
      <c r="K315" s="104"/>
      <c r="L315" s="13"/>
      <c r="M315" s="13"/>
      <c r="N315" s="13"/>
      <c r="O315" s="13"/>
      <c r="P315" s="13"/>
      <c r="Q315" s="31"/>
    </row>
    <row r="316" spans="1:17" ht="30" outlineLevel="2" x14ac:dyDescent="0.2">
      <c r="A316" s="30"/>
      <c r="B316" s="28"/>
      <c r="C316" s="30"/>
      <c r="D316" s="59" t="s">
        <v>505</v>
      </c>
      <c r="E316" s="57"/>
      <c r="F316" s="13"/>
      <c r="G316" s="13"/>
      <c r="H316" s="13"/>
      <c r="I316" s="57">
        <f>(((4.81+5.61)*0.8)/2)+(7.09*6.57)</f>
        <v>50.749299999999998</v>
      </c>
      <c r="J316" s="14" t="s">
        <v>508</v>
      </c>
      <c r="K316" s="104"/>
      <c r="L316" s="13"/>
      <c r="M316" s="13"/>
      <c r="N316" s="13"/>
      <c r="O316" s="13"/>
      <c r="P316" s="13"/>
      <c r="Q316" s="31"/>
    </row>
    <row r="317" spans="1:17" ht="30.75" outlineLevel="2" x14ac:dyDescent="0.25">
      <c r="A317" s="30"/>
      <c r="B317" s="28"/>
      <c r="C317" s="30"/>
      <c r="D317" s="59" t="s">
        <v>480</v>
      </c>
      <c r="E317" s="57"/>
      <c r="F317" s="13"/>
      <c r="G317" s="13"/>
      <c r="H317" s="13"/>
      <c r="I317" s="57">
        <f>(36.38*2.63)+((((2.14+1.42)*0.8)/2)*4)</f>
        <v>101.3754</v>
      </c>
      <c r="J317" s="14" t="s">
        <v>509</v>
      </c>
      <c r="K317" s="36" t="s">
        <v>583</v>
      </c>
      <c r="L317" s="13"/>
      <c r="M317" s="13"/>
      <c r="N317" s="13"/>
      <c r="O317" s="13"/>
      <c r="P317" s="13"/>
      <c r="Q317" s="31"/>
    </row>
    <row r="318" spans="1:17" ht="15.75" outlineLevel="2" x14ac:dyDescent="0.25">
      <c r="A318" s="30"/>
      <c r="B318" s="28"/>
      <c r="C318" s="30"/>
      <c r="D318" s="59"/>
      <c r="E318" s="57"/>
      <c r="F318" s="13"/>
      <c r="G318" s="13"/>
      <c r="H318" s="13"/>
      <c r="I318" s="57"/>
      <c r="J318" s="14"/>
      <c r="K318" s="34"/>
      <c r="L318" s="13"/>
      <c r="M318" s="13"/>
      <c r="N318" s="13"/>
      <c r="O318" s="13"/>
      <c r="P318" s="13"/>
      <c r="Q318" s="31"/>
    </row>
    <row r="319" spans="1:17" ht="15.75" outlineLevel="2" x14ac:dyDescent="0.2">
      <c r="A319" s="30"/>
      <c r="B319" s="28"/>
      <c r="C319" s="30"/>
      <c r="D319" s="37" t="s">
        <v>506</v>
      </c>
      <c r="E319" s="57"/>
      <c r="F319" s="13"/>
      <c r="G319" s="13"/>
      <c r="H319" s="13"/>
      <c r="I319" s="57"/>
      <c r="J319" s="13"/>
      <c r="K319" s="13"/>
      <c r="L319" s="13"/>
      <c r="M319" s="13"/>
      <c r="N319" s="13"/>
      <c r="O319" s="13"/>
      <c r="P319" s="13"/>
      <c r="Q319" s="31"/>
    </row>
    <row r="320" spans="1:17" ht="30" outlineLevel="2" x14ac:dyDescent="0.2">
      <c r="A320" s="30"/>
      <c r="B320" s="28"/>
      <c r="C320" s="30"/>
      <c r="D320" s="59" t="s">
        <v>505</v>
      </c>
      <c r="E320" s="57"/>
      <c r="F320" s="13"/>
      <c r="G320" s="13"/>
      <c r="H320" s="13"/>
      <c r="I320" s="57">
        <f>(((4.81+5.61)*0.8)/2)+(7.09*6.57)</f>
        <v>50.749299999999998</v>
      </c>
      <c r="J320" s="14" t="s">
        <v>508</v>
      </c>
      <c r="K320" s="104" t="s">
        <v>648</v>
      </c>
      <c r="L320" s="13"/>
      <c r="M320" s="13"/>
      <c r="N320" s="13"/>
      <c r="O320" s="13"/>
      <c r="P320" s="13"/>
      <c r="Q320" s="31"/>
    </row>
    <row r="321" spans="1:17" ht="30" outlineLevel="2" x14ac:dyDescent="0.2">
      <c r="A321" s="30"/>
      <c r="B321" s="28"/>
      <c r="C321" s="30"/>
      <c r="D321" s="59" t="s">
        <v>505</v>
      </c>
      <c r="E321" s="57"/>
      <c r="F321" s="13"/>
      <c r="G321" s="13"/>
      <c r="H321" s="13"/>
      <c r="I321" s="57">
        <f>(((4.81+5.61)*0.8)/2)+(7.09*6.57)</f>
        <v>50.749299999999998</v>
      </c>
      <c r="J321" s="14" t="s">
        <v>508</v>
      </c>
      <c r="K321" s="104"/>
      <c r="L321" s="13"/>
      <c r="M321" s="13"/>
      <c r="N321" s="13"/>
      <c r="O321" s="13"/>
      <c r="P321" s="13"/>
      <c r="Q321" s="31"/>
    </row>
    <row r="322" spans="1:17" ht="30" outlineLevel="2" x14ac:dyDescent="0.2">
      <c r="A322" s="30"/>
      <c r="B322" s="28"/>
      <c r="C322" s="30"/>
      <c r="D322" s="59" t="s">
        <v>505</v>
      </c>
      <c r="E322" s="57"/>
      <c r="F322" s="13"/>
      <c r="G322" s="13"/>
      <c r="H322" s="13"/>
      <c r="I322" s="57">
        <f>(((4.81+5.61)*0.8)/2)+(7.09*6.57)</f>
        <v>50.749299999999998</v>
      </c>
      <c r="J322" s="14" t="s">
        <v>508</v>
      </c>
      <c r="K322" s="104"/>
      <c r="L322" s="13"/>
      <c r="M322" s="13"/>
      <c r="N322" s="13"/>
      <c r="O322" s="13"/>
      <c r="P322" s="13"/>
      <c r="Q322" s="31"/>
    </row>
    <row r="323" spans="1:17" ht="30" outlineLevel="2" x14ac:dyDescent="0.2">
      <c r="A323" s="30"/>
      <c r="B323" s="28"/>
      <c r="C323" s="30"/>
      <c r="D323" s="59" t="s">
        <v>505</v>
      </c>
      <c r="E323" s="57"/>
      <c r="F323" s="13"/>
      <c r="G323" s="13"/>
      <c r="H323" s="13"/>
      <c r="I323" s="57">
        <f>(((4.81+5.61)*0.8)/2)+(7.09*6.57)</f>
        <v>50.749299999999998</v>
      </c>
      <c r="J323" s="14" t="s">
        <v>510</v>
      </c>
      <c r="K323" s="104"/>
      <c r="L323" s="13"/>
      <c r="M323" s="13"/>
      <c r="N323" s="13"/>
      <c r="O323" s="13"/>
      <c r="P323" s="13"/>
      <c r="Q323" s="31"/>
    </row>
    <row r="324" spans="1:17" ht="30.75" outlineLevel="2" x14ac:dyDescent="0.25">
      <c r="A324" s="30"/>
      <c r="B324" s="28"/>
      <c r="C324" s="30"/>
      <c r="D324" s="59" t="s">
        <v>480</v>
      </c>
      <c r="E324" s="57"/>
      <c r="F324" s="13"/>
      <c r="G324" s="13"/>
      <c r="H324" s="13"/>
      <c r="I324" s="57">
        <f>(36.38*2.63)+((((2.14+1.42)*0.8)/2)*4)</f>
        <v>101.3754</v>
      </c>
      <c r="J324" s="14" t="s">
        <v>509</v>
      </c>
      <c r="K324" s="36" t="s">
        <v>583</v>
      </c>
      <c r="L324" s="13"/>
      <c r="M324" s="13"/>
      <c r="N324" s="13"/>
      <c r="O324" s="13"/>
      <c r="P324" s="13"/>
      <c r="Q324" s="31"/>
    </row>
    <row r="325" spans="1:17" ht="15.75" outlineLevel="2" x14ac:dyDescent="0.25">
      <c r="A325" s="30"/>
      <c r="B325" s="28"/>
      <c r="C325" s="30"/>
      <c r="D325" s="59"/>
      <c r="E325" s="57"/>
      <c r="F325" s="13"/>
      <c r="G325" s="13"/>
      <c r="H325" s="13"/>
      <c r="I325" s="57"/>
      <c r="J325" s="14"/>
      <c r="K325" s="34"/>
      <c r="L325" s="13"/>
      <c r="M325" s="13"/>
      <c r="N325" s="13"/>
      <c r="O325" s="13"/>
      <c r="P325" s="13"/>
      <c r="Q325" s="31"/>
    </row>
    <row r="326" spans="1:17" ht="15.75" outlineLevel="2" x14ac:dyDescent="0.2">
      <c r="A326" s="30"/>
      <c r="B326" s="28"/>
      <c r="C326" s="30"/>
      <c r="D326" s="37" t="s">
        <v>408</v>
      </c>
      <c r="E326" s="57"/>
      <c r="F326" s="13"/>
      <c r="G326" s="13"/>
      <c r="H326" s="13"/>
      <c r="I326" s="57"/>
      <c r="J326" s="14"/>
      <c r="K326" s="13"/>
      <c r="L326" s="13"/>
      <c r="M326" s="13"/>
      <c r="N326" s="13"/>
      <c r="O326" s="13"/>
      <c r="P326" s="13"/>
      <c r="Q326" s="31"/>
    </row>
    <row r="327" spans="1:17" ht="30" outlineLevel="2" x14ac:dyDescent="0.2">
      <c r="A327" s="30"/>
      <c r="B327" s="28"/>
      <c r="C327" s="30"/>
      <c r="D327" s="59" t="s">
        <v>505</v>
      </c>
      <c r="E327" s="57"/>
      <c r="F327" s="13"/>
      <c r="G327" s="13"/>
      <c r="H327" s="13"/>
      <c r="I327" s="57">
        <f>(((4.81+5.61)*0.8)/2)+(6.57*7.09)</f>
        <v>50.749299999999998</v>
      </c>
      <c r="J327" s="14" t="s">
        <v>511</v>
      </c>
      <c r="K327" s="91" t="s">
        <v>648</v>
      </c>
      <c r="L327" s="13"/>
      <c r="M327" s="13"/>
      <c r="N327" s="13"/>
      <c r="O327" s="13"/>
      <c r="P327" s="13"/>
      <c r="Q327" s="31"/>
    </row>
    <row r="328" spans="1:17" ht="30" outlineLevel="2" x14ac:dyDescent="0.2">
      <c r="A328" s="30"/>
      <c r="B328" s="28"/>
      <c r="C328" s="30"/>
      <c r="D328" s="59" t="s">
        <v>505</v>
      </c>
      <c r="E328" s="57"/>
      <c r="F328" s="13"/>
      <c r="G328" s="13"/>
      <c r="H328" s="13"/>
      <c r="I328" s="57">
        <f>(((4.81+5.61)*0.8)/2)+(6.57*7.09)</f>
        <v>50.749299999999998</v>
      </c>
      <c r="J328" s="14" t="s">
        <v>512</v>
      </c>
      <c r="K328" s="92"/>
      <c r="L328" s="13"/>
      <c r="M328" s="13"/>
      <c r="N328" s="13"/>
      <c r="O328" s="13"/>
      <c r="P328" s="13"/>
      <c r="Q328" s="31"/>
    </row>
    <row r="329" spans="1:17" ht="30" outlineLevel="2" x14ac:dyDescent="0.2">
      <c r="A329" s="30"/>
      <c r="B329" s="28"/>
      <c r="C329" s="30"/>
      <c r="D329" s="59" t="s">
        <v>505</v>
      </c>
      <c r="E329" s="57"/>
      <c r="F329" s="13"/>
      <c r="G329" s="13"/>
      <c r="H329" s="13"/>
      <c r="I329" s="57">
        <f>(((4.81+5.61)*0.8)/2)+(6.57*7.09)</f>
        <v>50.749299999999998</v>
      </c>
      <c r="J329" s="14" t="s">
        <v>512</v>
      </c>
      <c r="K329" s="92"/>
      <c r="L329" s="13"/>
      <c r="M329" s="13"/>
      <c r="N329" s="13"/>
      <c r="O329" s="13"/>
      <c r="P329" s="13"/>
      <c r="Q329" s="31"/>
    </row>
    <row r="330" spans="1:17" ht="30" outlineLevel="2" x14ac:dyDescent="0.2">
      <c r="A330" s="30"/>
      <c r="B330" s="28"/>
      <c r="C330" s="30"/>
      <c r="D330" s="59" t="s">
        <v>505</v>
      </c>
      <c r="E330" s="57"/>
      <c r="F330" s="13"/>
      <c r="G330" s="13"/>
      <c r="H330" s="13"/>
      <c r="I330" s="57">
        <f>(((4.81+5.61)*0.8)/2)+(6.57*7.09)</f>
        <v>50.749299999999998</v>
      </c>
      <c r="J330" s="14" t="s">
        <v>512</v>
      </c>
      <c r="K330" s="92"/>
      <c r="L330" s="13"/>
      <c r="M330" s="13"/>
      <c r="N330" s="13"/>
      <c r="O330" s="13"/>
      <c r="P330" s="13"/>
      <c r="Q330" s="31"/>
    </row>
    <row r="331" spans="1:17" ht="30" outlineLevel="2" x14ac:dyDescent="0.2">
      <c r="A331" s="30"/>
      <c r="B331" s="28"/>
      <c r="C331" s="30"/>
      <c r="D331" s="59" t="s">
        <v>507</v>
      </c>
      <c r="E331" s="57"/>
      <c r="F331" s="13"/>
      <c r="G331" s="13"/>
      <c r="H331" s="13"/>
      <c r="I331" s="57">
        <f>(29.04*2.63)+((((2.14+1.42)*0.8)/2)*4)</f>
        <v>82.07119999999999</v>
      </c>
      <c r="J331" s="14" t="s">
        <v>513</v>
      </c>
      <c r="K331" s="93"/>
      <c r="L331" s="13"/>
      <c r="M331" s="13"/>
      <c r="N331" s="13"/>
      <c r="O331" s="13"/>
      <c r="P331" s="13"/>
      <c r="Q331" s="31"/>
    </row>
    <row r="332" spans="1:17" ht="15.75" outlineLevel="2" x14ac:dyDescent="0.2">
      <c r="A332" s="30"/>
      <c r="B332" s="28"/>
      <c r="C332" s="30"/>
      <c r="D332" s="59"/>
      <c r="E332" s="57"/>
      <c r="F332" s="13"/>
      <c r="G332" s="13"/>
      <c r="H332" s="13"/>
      <c r="I332" s="57"/>
      <c r="J332" s="14"/>
      <c r="K332" s="54"/>
      <c r="L332" s="13"/>
      <c r="M332" s="13"/>
      <c r="N332" s="13"/>
      <c r="O332" s="13"/>
      <c r="P332" s="13"/>
      <c r="Q332" s="31"/>
    </row>
    <row r="333" spans="1:17" ht="30" outlineLevel="2" x14ac:dyDescent="0.2">
      <c r="A333" s="30"/>
      <c r="B333" s="28"/>
      <c r="C333" s="30"/>
      <c r="D333" s="37" t="s">
        <v>679</v>
      </c>
      <c r="E333" s="57"/>
      <c r="F333" s="13"/>
      <c r="G333" s="13"/>
      <c r="H333" s="13"/>
      <c r="I333" s="57">
        <f>(3.6*3.6*25)</f>
        <v>324</v>
      </c>
      <c r="J333" s="14" t="s">
        <v>680</v>
      </c>
      <c r="K333" s="54"/>
      <c r="L333" s="13"/>
      <c r="M333" s="13"/>
      <c r="N333" s="13"/>
      <c r="O333" s="13"/>
      <c r="P333" s="13"/>
      <c r="Q333" s="31"/>
    </row>
    <row r="334" spans="1:17" ht="31.5" outlineLevel="2" x14ac:dyDescent="0.2">
      <c r="A334" s="30"/>
      <c r="B334" s="28"/>
      <c r="C334" s="30"/>
      <c r="D334" s="37" t="s">
        <v>720</v>
      </c>
      <c r="E334" s="57"/>
      <c r="F334" s="13"/>
      <c r="G334" s="13"/>
      <c r="H334" s="13"/>
      <c r="I334" s="57">
        <f>4.8*2.75</f>
        <v>13.2</v>
      </c>
      <c r="J334" s="14" t="s">
        <v>721</v>
      </c>
      <c r="K334" s="54"/>
      <c r="L334" s="13"/>
      <c r="M334" s="13"/>
      <c r="N334" s="13"/>
      <c r="O334" s="13"/>
      <c r="P334" s="13"/>
      <c r="Q334" s="31"/>
    </row>
    <row r="335" spans="1:17" ht="15" outlineLevel="2" x14ac:dyDescent="0.2">
      <c r="A335" s="30"/>
      <c r="B335" s="28"/>
      <c r="C335" s="30"/>
      <c r="D335" s="59"/>
      <c r="E335" s="57"/>
      <c r="F335" s="13"/>
      <c r="G335" s="13"/>
      <c r="H335" s="13"/>
      <c r="I335" s="57"/>
      <c r="J335" s="14"/>
      <c r="K335" s="55"/>
      <c r="L335" s="13"/>
      <c r="M335" s="13"/>
      <c r="N335" s="13"/>
      <c r="O335" s="13"/>
      <c r="P335" s="13"/>
      <c r="Q335" s="31"/>
    </row>
    <row r="336" spans="1:17" ht="31.5" outlineLevel="2" x14ac:dyDescent="0.2">
      <c r="A336" s="30"/>
      <c r="B336" s="28"/>
      <c r="C336" s="30"/>
      <c r="D336" s="37" t="s">
        <v>581</v>
      </c>
      <c r="E336" s="57" t="s">
        <v>633</v>
      </c>
      <c r="F336" s="13"/>
      <c r="G336" s="13"/>
      <c r="H336" s="13"/>
      <c r="I336" s="57">
        <f>ROUND(I337+I338+6.16,2)</f>
        <v>116.19</v>
      </c>
      <c r="J336" s="14"/>
      <c r="K336" s="55"/>
      <c r="L336" s="13"/>
      <c r="M336" s="13"/>
      <c r="N336" s="13"/>
      <c r="O336" s="13"/>
      <c r="P336" s="13"/>
      <c r="Q336" s="31"/>
    </row>
    <row r="337" spans="1:17" ht="135" outlineLevel="2" x14ac:dyDescent="0.2">
      <c r="A337" s="30"/>
      <c r="B337" s="28"/>
      <c r="C337" s="30"/>
      <c r="D337" s="37" t="s">
        <v>406</v>
      </c>
      <c r="E337" s="57"/>
      <c r="F337" s="13"/>
      <c r="G337" s="13"/>
      <c r="H337" s="13"/>
      <c r="I337" s="57">
        <f>2.79*5.25+5.91*5.25+1.7*3.93+1*1.2+1*1.24+1.72*1.15+1.15*1+1.32*0.98</f>
        <v>59.217599999999997</v>
      </c>
      <c r="J337" s="14" t="s">
        <v>662</v>
      </c>
      <c r="K337" s="55"/>
      <c r="L337" s="13"/>
      <c r="M337" s="13"/>
      <c r="N337" s="13"/>
      <c r="O337" s="13"/>
      <c r="P337" s="13"/>
      <c r="Q337" s="31"/>
    </row>
    <row r="338" spans="1:17" ht="30" outlineLevel="2" x14ac:dyDescent="0.2">
      <c r="A338" s="30"/>
      <c r="B338" s="28"/>
      <c r="C338" s="30"/>
      <c r="D338" s="37" t="s">
        <v>409</v>
      </c>
      <c r="E338" s="57"/>
      <c r="F338" s="13"/>
      <c r="G338" s="13"/>
      <c r="H338" s="13"/>
      <c r="I338" s="57">
        <f>4.83*5.26*2</f>
        <v>50.811599999999999</v>
      </c>
      <c r="J338" s="14" t="s">
        <v>582</v>
      </c>
      <c r="K338" s="13"/>
      <c r="L338" s="13"/>
      <c r="M338" s="13"/>
      <c r="N338" s="13"/>
      <c r="O338" s="13"/>
      <c r="P338" s="13"/>
      <c r="Q338" s="31"/>
    </row>
    <row r="339" spans="1:17" ht="15" outlineLevel="2" x14ac:dyDescent="0.2">
      <c r="A339" s="30"/>
      <c r="B339" s="28"/>
      <c r="C339" s="30"/>
      <c r="D339" s="59"/>
      <c r="E339" s="57"/>
      <c r="F339" s="13"/>
      <c r="G339" s="13"/>
      <c r="H339" s="56"/>
      <c r="I339" s="67"/>
      <c r="J339" s="28"/>
      <c r="K339" s="13"/>
      <c r="L339" s="13"/>
      <c r="M339" s="13"/>
      <c r="N339" s="13"/>
      <c r="O339" s="13"/>
      <c r="P339" s="13"/>
      <c r="Q339" s="31"/>
    </row>
    <row r="340" spans="1:17" ht="15" outlineLevel="2" x14ac:dyDescent="0.2">
      <c r="A340" s="30"/>
      <c r="B340" s="28"/>
      <c r="C340" s="30"/>
      <c r="D340" s="62"/>
      <c r="E340" s="69"/>
      <c r="F340" s="39"/>
      <c r="G340" s="39"/>
      <c r="H340" s="39"/>
      <c r="I340" s="67"/>
      <c r="J340" s="28"/>
      <c r="K340" s="13"/>
      <c r="L340" s="13"/>
      <c r="M340" s="13"/>
      <c r="N340" s="13"/>
      <c r="O340" s="13"/>
      <c r="P340" s="13"/>
      <c r="Q340" s="31"/>
    </row>
    <row r="341" spans="1:17" ht="31.5" outlineLevel="2" x14ac:dyDescent="0.2">
      <c r="A341" s="30">
        <v>80106</v>
      </c>
      <c r="B341" s="28"/>
      <c r="C341" s="30">
        <v>922422</v>
      </c>
      <c r="D341" s="37" t="s">
        <v>678</v>
      </c>
      <c r="E341" s="57" t="s">
        <v>10</v>
      </c>
      <c r="F341" s="13"/>
      <c r="G341" s="13">
        <v>0</v>
      </c>
      <c r="H341" s="13">
        <v>2030.95</v>
      </c>
      <c r="I341" s="57">
        <f>I342+I343+I344+I345+I346+I347+I348</f>
        <v>776.22209999999995</v>
      </c>
      <c r="J341" s="13"/>
      <c r="K341" s="13"/>
      <c r="L341" s="13">
        <v>2.69</v>
      </c>
      <c r="M341" s="13">
        <v>5463.25</v>
      </c>
      <c r="N341" s="13">
        <v>0</v>
      </c>
      <c r="O341" s="13">
        <v>5463.25</v>
      </c>
      <c r="P341" s="13">
        <v>5463.25</v>
      </c>
      <c r="Q341" s="31">
        <f>PRODUCT(K341,L341)</f>
        <v>2.69</v>
      </c>
    </row>
    <row r="342" spans="1:17" ht="409.5" outlineLevel="2" x14ac:dyDescent="0.2">
      <c r="A342" s="30"/>
      <c r="B342" s="28"/>
      <c r="C342" s="30"/>
      <c r="D342" s="59" t="s">
        <v>403</v>
      </c>
      <c r="E342" s="57"/>
      <c r="F342" s="13"/>
      <c r="G342" s="13"/>
      <c r="H342" s="13"/>
      <c r="I342" s="57">
        <f>(0.39*2.6)+(2.55*0.38+0.4*1.5+0.25*2.6)+(3.06*0.4+1*2.2)+(0.9*0.4+1*2.6+1.9*2.6)+(2.39*2.6+1.08*0.5)+ ((2.9+0.88+0.9)*2.6)+(0.13*2.6*3)+(0.39*2.6*2)+(0.39*2.6)+(12.11+2.26*2+7.2*2+7.25)*(0.4+0.15+0.4)+((0.35*4*13)*2.85)+(((0.45*2+0.15*2)*2)*2.85)+(((4.98*1.44)/2)*2)+((2*0.12*2)*2 )+(14.27*0.4*2)</f>
        <v>152.15820000000002</v>
      </c>
      <c r="J342" s="51" t="s">
        <v>760</v>
      </c>
      <c r="K342" s="13"/>
      <c r="L342" s="13"/>
      <c r="M342" s="13"/>
      <c r="N342" s="13"/>
      <c r="O342" s="13"/>
      <c r="P342" s="13"/>
      <c r="Q342" s="31"/>
    </row>
    <row r="343" spans="1:17" ht="258.75" outlineLevel="2" x14ac:dyDescent="0.2">
      <c r="A343" s="30"/>
      <c r="B343" s="28"/>
      <c r="C343" s="30"/>
      <c r="D343" s="59" t="s">
        <v>404</v>
      </c>
      <c r="E343" s="57"/>
      <c r="F343" s="13"/>
      <c r="G343" s="13"/>
      <c r="H343" s="13"/>
      <c r="I343" s="57">
        <f>((0.4*4.4)+(0.2*0.6)+(0.4*7))+((0.2*7.1*2)+(2.3*0.2))+(0.9*1.1)+(0.4*2.2)+(7.1*0.4)+(0.7*0.25*3)+(1.45*0.9+2.1*0.65)+(1.42*0.9+0.15*2.1)+((3.08*1.1)*4 )+(5.3*0.4*2)+(0.5*0.4*2)</f>
        <v>35.67</v>
      </c>
      <c r="J343" s="51" t="s">
        <v>761</v>
      </c>
      <c r="K343" s="57"/>
      <c r="L343" s="13"/>
      <c r="M343" s="13"/>
      <c r="N343" s="13"/>
      <c r="O343" s="13"/>
      <c r="P343" s="13"/>
      <c r="Q343" s="31"/>
    </row>
    <row r="344" spans="1:17" ht="185.25" outlineLevel="2" x14ac:dyDescent="0.2">
      <c r="A344" s="30"/>
      <c r="B344" s="28"/>
      <c r="C344" s="30"/>
      <c r="D344" s="59" t="s">
        <v>405</v>
      </c>
      <c r="E344" s="57"/>
      <c r="F344" s="13"/>
      <c r="G344" s="13"/>
      <c r="H344" s="13"/>
      <c r="I344" s="57">
        <f>(0.74*1.1*2+2.2*0.25+0.1*2.2)+(0.62*0.25)+(1.3*0.2+0.25*1.23)+(2*7.7*0.4+0.5*0.4*2)+(5.3*0.4*2+0.5*0.4*2)+((0.68*2.5*2)*2)</f>
        <v>21.1205</v>
      </c>
      <c r="J344" s="51" t="s">
        <v>762</v>
      </c>
      <c r="K344" s="13"/>
      <c r="L344" s="13"/>
      <c r="M344" s="13"/>
      <c r="N344" s="13"/>
      <c r="O344" s="13"/>
      <c r="P344" s="13"/>
      <c r="Q344" s="31"/>
    </row>
    <row r="345" spans="1:17" ht="398.25" outlineLevel="2" x14ac:dyDescent="0.2">
      <c r="A345" s="30"/>
      <c r="B345" s="28"/>
      <c r="C345" s="30"/>
      <c r="D345" s="57" t="s">
        <v>406</v>
      </c>
      <c r="E345" s="57"/>
      <c r="F345" s="57"/>
      <c r="G345" s="57"/>
      <c r="H345" s="57"/>
      <c r="I345" s="57">
        <f>(0.67*2.58+0.7*0.5)+(0.7*2.56+1.7*0.46)+(0.5*2.58+0.58*1.2)+(0.3*2.6)+((0.15*2+0.25*2)*(2+1.5+1+1))+(((0.15*2+0.25*2)*3)*2.6)+ ((0.28*4*2.6)*4)+((0.38*0.9*5)*2)+((0.55*0.9*3)*2) +( 0.28*3*2.6)+((2.8*2.6)-(0.9*2.1+0.64*1)) +(((0.35*2*0.15*2)*2.85)*10)+((0.25*4*2.85)*5)+ ((0.35*2+0.15*2)*(17.87*2))+((0.35*2+0.15*2)*12.45)+((1.32+2.79+2.16+1.09)*(0.2*2+0.13))+((0.15*3*2.85)*6)+(((4.98*1.44)/2)*2)+((2*0.12*2)*2)</f>
        <v>131.18260000000001</v>
      </c>
      <c r="J345" s="51" t="s">
        <v>763</v>
      </c>
      <c r="K345" s="57"/>
      <c r="L345" s="13"/>
      <c r="M345" s="13"/>
      <c r="N345" s="13"/>
      <c r="O345" s="13"/>
      <c r="P345" s="13"/>
      <c r="Q345" s="31"/>
    </row>
    <row r="346" spans="1:17" ht="409.5" outlineLevel="2" x14ac:dyDescent="0.2">
      <c r="A346" s="30"/>
      <c r="B346" s="28"/>
      <c r="C346" s="30"/>
      <c r="D346" s="57" t="s">
        <v>465</v>
      </c>
      <c r="E346" s="57"/>
      <c r="F346" s="57"/>
      <c r="G346" s="57"/>
      <c r="H346" s="57"/>
      <c r="I346" s="57">
        <f>(2*(7.35*0.4*2)) +( 7.35*0.15 )+(7.35*0.4*1)+(2.16*0.4*4)+(0.25*1.2)+(0.85*1.26*2+0.25*2.1)+(0.8*3.06+0.15*2.7)+(2*(7.35*0.4*2))+(7.35*0.15)+(7.35*0.4*1)+(2.16*0.4*4)+(0.25*1.2)+(0.85*1.26*2+0.25*2.1)+(0.8*3.06+0.15*2.7)+(2*(7.35*0.4*2))+( 7.35*0.15)+(7.35*0.4)+(2.16*0.4*4)+(0.25*1.25)+(0.85*1.26*2+0.25*2.1)+(0.8*3.06+0.15*2.7)+(0.88*1.26*2+0.2*2.15)+(2.16*0.4*4)+(0.66*3.15)+(0.15*3.15*3)+(3.6*0.35*4)+((0.8*1.28)+((0.28*2.3)*2)*2)+(4.36*4*0.4+0.4*0.4*6)+(6.76*4*0.4+0.4*0.4*6)</f>
        <v>113.20009999999999</v>
      </c>
      <c r="J346" s="33" t="s">
        <v>764</v>
      </c>
      <c r="K346" s="33"/>
      <c r="L346" s="13"/>
      <c r="M346" s="13"/>
      <c r="N346" s="13"/>
      <c r="O346" s="13"/>
      <c r="P346" s="13"/>
      <c r="Q346" s="31"/>
    </row>
    <row r="347" spans="1:17" ht="409.5" outlineLevel="2" x14ac:dyDescent="0.2">
      <c r="A347" s="30"/>
      <c r="B347" s="28"/>
      <c r="C347" s="30"/>
      <c r="D347" s="57" t="s">
        <v>451</v>
      </c>
      <c r="E347" s="57"/>
      <c r="F347" s="57"/>
      <c r="G347" s="57"/>
      <c r="H347" s="57"/>
      <c r="I347" s="57">
        <f xml:space="preserve"> (2*(7.35*0.4*2))+( 7.35*0.15)+(0.88*1.26+0.2*2.15)+(1*3+1.15*0.88)+(2*(7.35*0.4*2))+( 7.35*0.15)+(0.88*1.26+0.2*2.15)+(1*3+1.15*0.88)+(2*(7.35*0.4*2))+( 7.35*0.15)+0.88*1.26+0.2*2.15+1*3+1.15*0.88+(2*(7.35*0.4*2))+( 7.35*0.15)+(0.88*1.26+0.2*2.15)+(1*3+1.15*0.88)+(0.66*3.15)+(0.15*3.15*3)+(3.6*0.35*4)+(((0.8*1.28)+(0.28*2.3)*2)*2)+(4.36*2*0.4*2+0.4*0.5*4)+(6.76*2*0.4*2+0.4*0.5*4)+((((3.67*1.16)/2)*2)*2)+((36.02*0.6)*2)</f>
        <v>157.94409999999999</v>
      </c>
      <c r="J347" s="33" t="s">
        <v>765</v>
      </c>
      <c r="K347" s="13"/>
      <c r="L347" s="13"/>
      <c r="M347" s="13"/>
      <c r="N347" s="13"/>
      <c r="O347" s="13"/>
      <c r="P347" s="13"/>
      <c r="Q347" s="31"/>
    </row>
    <row r="348" spans="1:17" ht="381.75" outlineLevel="2" x14ac:dyDescent="0.2">
      <c r="A348" s="30"/>
      <c r="B348" s="28"/>
      <c r="C348" s="30"/>
      <c r="D348" s="57" t="s">
        <v>408</v>
      </c>
      <c r="E348" s="57"/>
      <c r="F348" s="57"/>
      <c r="G348" s="57"/>
      <c r="H348" s="57"/>
      <c r="I348" s="57">
        <f>((1.32*3.08)+(0.92*1.33)+(0.2*2.15))+(7.35*0.4*4)+(2.16*0.4*4)
+((0.9*1.26)+(0.12*2.15*3)+(0.15*2.6))+((17.35*0.4*4)+(2.16*0.4*4))
+((0.9*3.08)+(0.9*1.33)+(0.2*2.15*3))+((7.35*0.4*4)+(7.35*0.15*2)+(2.16*0.4*5))
+((0.9*3.08)+(0.9*1.33)+(0.2*2.15*3))+((0.2*2.15)+(1.29*3.1)+(0.9*1.1)+(7.35*0.4*4)+(2.16*0.4*4))+((0.25*1.2)+(0.25*2.6)+(0.25*1.9))
+((4.36*2*0.4)+(0.4*0.5*6))+((6.76*2*0.4*2)+(0.4*0.5*6))
+((((3.67*1.16)/2)*2)*2)+((28.68*0.6)*2)</f>
        <v>164.94660000000002</v>
      </c>
      <c r="J348" s="14" t="s">
        <v>766</v>
      </c>
      <c r="K348" s="13"/>
      <c r="L348" s="13"/>
      <c r="M348" s="13"/>
      <c r="N348" s="13"/>
      <c r="O348" s="13"/>
      <c r="P348" s="13"/>
      <c r="Q348" s="31"/>
    </row>
    <row r="349" spans="1:17" ht="15.75" outlineLevel="2" x14ac:dyDescent="0.2">
      <c r="A349" s="30"/>
      <c r="B349" s="28"/>
      <c r="C349" s="30"/>
      <c r="D349" s="37"/>
      <c r="E349" s="57"/>
      <c r="F349" s="13"/>
      <c r="G349" s="13"/>
      <c r="H349" s="13"/>
      <c r="I349" s="57"/>
      <c r="J349" s="14"/>
      <c r="K349" s="13"/>
      <c r="L349" s="13"/>
      <c r="M349" s="13"/>
      <c r="N349" s="13"/>
      <c r="O349" s="13"/>
      <c r="P349" s="13"/>
      <c r="Q349" s="31"/>
    </row>
    <row r="350" spans="1:17" ht="62.25" outlineLevel="2" x14ac:dyDescent="0.25">
      <c r="A350" s="30"/>
      <c r="B350" s="28"/>
      <c r="C350" s="30"/>
      <c r="D350" s="38" t="s">
        <v>645</v>
      </c>
      <c r="E350" s="57" t="s">
        <v>633</v>
      </c>
      <c r="F350" s="57"/>
      <c r="G350" s="57"/>
      <c r="H350" s="57"/>
      <c r="I350" s="57">
        <f>((((0.17+1)*2.4)*3+1.2*2.6)*2)+(((0.17+1)*2.4)*3+1.2*2.6)*2</f>
        <v>46.176000000000002</v>
      </c>
      <c r="J350" s="14" t="s">
        <v>767</v>
      </c>
      <c r="K350" s="26" t="s">
        <v>663</v>
      </c>
      <c r="L350" s="13"/>
      <c r="M350" s="13"/>
      <c r="N350" s="13"/>
      <c r="O350" s="13"/>
      <c r="P350" s="13"/>
      <c r="Q350" s="31"/>
    </row>
    <row r="351" spans="1:17" ht="77.25" outlineLevel="2" x14ac:dyDescent="0.2">
      <c r="A351" s="30"/>
      <c r="B351" s="28"/>
      <c r="C351" s="30"/>
      <c r="D351" s="38" t="s">
        <v>598</v>
      </c>
      <c r="E351" s="57" t="s">
        <v>666</v>
      </c>
      <c r="F351" s="57"/>
      <c r="G351" s="57"/>
      <c r="H351" s="57"/>
      <c r="I351" s="57">
        <f>(7.35*4.65*0.05)+(7.35*4.65*0.05)</f>
        <v>3.4177500000000003</v>
      </c>
      <c r="J351" s="14" t="s">
        <v>768</v>
      </c>
      <c r="K351" s="13"/>
      <c r="L351" s="13"/>
      <c r="M351" s="13"/>
      <c r="N351" s="13"/>
      <c r="O351" s="13"/>
      <c r="P351" s="13"/>
      <c r="Q351" s="31"/>
    </row>
    <row r="352" spans="1:17" ht="409.5" outlineLevel="2" x14ac:dyDescent="0.25">
      <c r="A352" s="30"/>
      <c r="B352" s="28"/>
      <c r="C352" s="30"/>
      <c r="D352" s="38" t="s">
        <v>664</v>
      </c>
      <c r="E352" s="57" t="s">
        <v>633</v>
      </c>
      <c r="F352" s="57"/>
      <c r="G352" s="57"/>
      <c r="H352" s="57"/>
      <c r="I352" s="57">
        <f>(6.95*2.75)+(2.5*12.11)+(2*4.6)+(3.07*3.55)+(1.05*0.85)+(6.74*3.55)+(4.72*0.85)+(7.75*2.75)+(2.6*4.39)+(3.05*1.6)+(1.85*4.4)+(3.46*4.4)+(7.43*2.5)+(12.45*18.11)+(2.79*5.25)+(5.91*5.25)+(1.7*3.93)+(1*1.2)+(1*1.24)+(1.72*1.15)+(1.15*1)+(1.32*0.98) +(4.8*2.75) +(7.35*4.65)+(7.35*4.65)+((3.6*3.6)*25)</f>
        <v>868.10509999999988</v>
      </c>
      <c r="J352" s="14" t="s">
        <v>769</v>
      </c>
      <c r="K352" s="13"/>
      <c r="L352" s="13"/>
      <c r="M352" s="13"/>
      <c r="N352" s="13"/>
      <c r="O352" s="13"/>
      <c r="P352" s="13"/>
      <c r="Q352" s="31"/>
    </row>
    <row r="353" spans="1:17" ht="409.5" outlineLevel="2" x14ac:dyDescent="0.25">
      <c r="A353" s="30"/>
      <c r="B353" s="28"/>
      <c r="C353" s="30"/>
      <c r="D353" s="38" t="s">
        <v>599</v>
      </c>
      <c r="E353" s="57" t="s">
        <v>10</v>
      </c>
      <c r="F353" s="57"/>
      <c r="G353" s="57"/>
      <c r="H353" s="57"/>
      <c r="I353" s="57">
        <f>(6.95*2.75)+(2.5*12.11)+(2*4.6)+(3.07*3.55)+(1.05*0.85)+(6.74*3.55)+(4.72*0.85)+(7.75*2.75)+(2.6*4.39)+(3.05*1.6)+(1.85*4.4)+(3.46*4.4)+(7.43*2.5)+(12.45*18.11)+(2.79*5.25)+(5.91*5.25)+(1.7*3.93)+(1*1.2)+(1*1.24)+(1.72*1.15)+(1.15*1)+(1.32*0.98) +(4.8*2.75) +(7.35*4.65)+(7.35*4.65)+((3.6*3.6)*25)</f>
        <v>868.10509999999988</v>
      </c>
      <c r="J353" s="14" t="s">
        <v>770</v>
      </c>
      <c r="K353" s="13"/>
      <c r="L353" s="13"/>
      <c r="M353" s="13"/>
      <c r="N353" s="13"/>
      <c r="O353" s="13"/>
      <c r="P353" s="13"/>
      <c r="Q353" s="31"/>
    </row>
    <row r="354" spans="1:17" ht="15" outlineLevel="2" x14ac:dyDescent="0.2">
      <c r="A354" s="30"/>
      <c r="B354" s="28"/>
      <c r="C354" s="30"/>
      <c r="D354" s="62"/>
      <c r="E354" s="69"/>
      <c r="F354" s="39"/>
      <c r="G354" s="39"/>
      <c r="H354" s="39"/>
      <c r="I354" s="69"/>
      <c r="J354" s="39"/>
      <c r="K354" s="13"/>
      <c r="L354" s="13"/>
      <c r="M354" s="13"/>
      <c r="N354" s="13"/>
      <c r="O354" s="13"/>
      <c r="P354" s="13"/>
      <c r="Q354" s="31"/>
    </row>
    <row r="355" spans="1:17" ht="45" outlineLevel="2" x14ac:dyDescent="0.2">
      <c r="A355" s="30">
        <v>80109</v>
      </c>
      <c r="B355" s="28"/>
      <c r="C355" s="30">
        <v>921974</v>
      </c>
      <c r="D355" s="59" t="s">
        <v>127</v>
      </c>
      <c r="E355" s="57" t="s">
        <v>10</v>
      </c>
      <c r="F355" s="13">
        <v>1506.01</v>
      </c>
      <c r="G355" s="13">
        <v>0</v>
      </c>
      <c r="H355" s="13">
        <v>0</v>
      </c>
      <c r="I355" s="57">
        <v>0</v>
      </c>
      <c r="J355" s="13"/>
      <c r="K355" s="13">
        <v>1506.01</v>
      </c>
      <c r="L355" s="13">
        <v>1.85</v>
      </c>
      <c r="M355" s="13">
        <v>2786.11</v>
      </c>
      <c r="N355" s="13">
        <v>0</v>
      </c>
      <c r="O355" s="13">
        <v>0</v>
      </c>
      <c r="P355" s="13">
        <v>0</v>
      </c>
      <c r="Q355" s="31">
        <f>PRODUCT(K355,L355)</f>
        <v>2786.1185</v>
      </c>
    </row>
    <row r="356" spans="1:17" ht="15" outlineLevel="2" x14ac:dyDescent="0.2">
      <c r="A356" s="30"/>
      <c r="B356" s="28"/>
      <c r="C356" s="30"/>
      <c r="D356" s="59" t="s">
        <v>403</v>
      </c>
      <c r="E356" s="57"/>
      <c r="F356" s="13"/>
      <c r="G356" s="13"/>
      <c r="H356" s="13"/>
      <c r="I356" s="57"/>
      <c r="J356" s="13"/>
      <c r="K356" s="13"/>
      <c r="L356" s="13"/>
      <c r="M356" s="13"/>
      <c r="N356" s="13"/>
      <c r="O356" s="13"/>
      <c r="P356" s="13"/>
      <c r="Q356" s="31"/>
    </row>
    <row r="357" spans="1:17" ht="15" outlineLevel="2" x14ac:dyDescent="0.2">
      <c r="A357" s="30"/>
      <c r="B357" s="28"/>
      <c r="C357" s="30"/>
      <c r="D357" s="59" t="s">
        <v>404</v>
      </c>
      <c r="E357" s="57"/>
      <c r="F357" s="13"/>
      <c r="G357" s="13"/>
      <c r="H357" s="13"/>
      <c r="I357" s="57"/>
      <c r="J357" s="13"/>
      <c r="K357" s="13"/>
      <c r="L357" s="13"/>
      <c r="M357" s="13"/>
      <c r="N357" s="13"/>
      <c r="O357" s="13"/>
      <c r="P357" s="13"/>
      <c r="Q357" s="31"/>
    </row>
    <row r="358" spans="1:17" ht="15" outlineLevel="2" x14ac:dyDescent="0.2">
      <c r="A358" s="30"/>
      <c r="B358" s="28"/>
      <c r="C358" s="30"/>
      <c r="D358" s="59" t="s">
        <v>405</v>
      </c>
      <c r="E358" s="57"/>
      <c r="F358" s="13"/>
      <c r="G358" s="13"/>
      <c r="H358" s="13"/>
      <c r="I358" s="57"/>
      <c r="J358" s="13"/>
      <c r="K358" s="13"/>
      <c r="L358" s="13"/>
      <c r="M358" s="13"/>
      <c r="N358" s="13"/>
      <c r="O358" s="13"/>
      <c r="P358" s="13"/>
      <c r="Q358" s="31"/>
    </row>
    <row r="359" spans="1:17" ht="15" outlineLevel="2" x14ac:dyDescent="0.2">
      <c r="A359" s="30"/>
      <c r="B359" s="28"/>
      <c r="C359" s="30"/>
      <c r="D359" s="59" t="s">
        <v>406</v>
      </c>
      <c r="E359" s="57"/>
      <c r="F359" s="13"/>
      <c r="G359" s="13"/>
      <c r="H359" s="13"/>
      <c r="I359" s="57"/>
      <c r="J359" s="13"/>
      <c r="K359" s="13"/>
      <c r="L359" s="13"/>
      <c r="M359" s="13"/>
      <c r="N359" s="13"/>
      <c r="O359" s="13"/>
      <c r="P359" s="13"/>
      <c r="Q359" s="31"/>
    </row>
    <row r="360" spans="1:17" ht="15" outlineLevel="2" x14ac:dyDescent="0.2">
      <c r="A360" s="30"/>
      <c r="B360" s="28"/>
      <c r="C360" s="30"/>
      <c r="D360" s="59" t="s">
        <v>465</v>
      </c>
      <c r="E360" s="57"/>
      <c r="F360" s="13"/>
      <c r="G360" s="13"/>
      <c r="H360" s="13"/>
      <c r="I360" s="57"/>
      <c r="J360" s="13"/>
      <c r="K360" s="13"/>
      <c r="L360" s="13"/>
      <c r="M360" s="13"/>
      <c r="N360" s="13"/>
      <c r="O360" s="13"/>
      <c r="P360" s="13"/>
      <c r="Q360" s="31"/>
    </row>
    <row r="361" spans="1:17" ht="15" outlineLevel="2" x14ac:dyDescent="0.2">
      <c r="A361" s="30"/>
      <c r="B361" s="28"/>
      <c r="C361" s="30"/>
      <c r="D361" s="59" t="s">
        <v>451</v>
      </c>
      <c r="E361" s="57"/>
      <c r="F361" s="13"/>
      <c r="G361" s="13"/>
      <c r="H361" s="13"/>
      <c r="I361" s="57"/>
      <c r="J361" s="13"/>
      <c r="K361" s="13"/>
      <c r="L361" s="13"/>
      <c r="M361" s="13"/>
      <c r="N361" s="13"/>
      <c r="O361" s="13"/>
      <c r="P361" s="13"/>
      <c r="Q361" s="31"/>
    </row>
    <row r="362" spans="1:17" ht="15" outlineLevel="2" x14ac:dyDescent="0.2">
      <c r="A362" s="30"/>
      <c r="B362" s="28"/>
      <c r="C362" s="30"/>
      <c r="D362" s="59" t="s">
        <v>408</v>
      </c>
      <c r="E362" s="57"/>
      <c r="F362" s="13"/>
      <c r="G362" s="13"/>
      <c r="H362" s="13"/>
      <c r="I362" s="57"/>
      <c r="J362" s="13"/>
      <c r="K362" s="13"/>
      <c r="L362" s="13"/>
      <c r="M362" s="13"/>
      <c r="N362" s="13"/>
      <c r="O362" s="13"/>
      <c r="P362" s="13"/>
      <c r="Q362" s="31"/>
    </row>
    <row r="363" spans="1:17" ht="15" outlineLevel="2" x14ac:dyDescent="0.2">
      <c r="A363" s="30"/>
      <c r="B363" s="28"/>
      <c r="C363" s="30"/>
      <c r="D363" s="59" t="s">
        <v>466</v>
      </c>
      <c r="E363" s="57"/>
      <c r="F363" s="13"/>
      <c r="G363" s="13"/>
      <c r="H363" s="13"/>
      <c r="I363" s="57"/>
      <c r="J363" s="13"/>
      <c r="K363" s="13"/>
      <c r="L363" s="13"/>
      <c r="M363" s="13"/>
      <c r="N363" s="13"/>
      <c r="O363" s="13"/>
      <c r="P363" s="13"/>
      <c r="Q363" s="31"/>
    </row>
    <row r="364" spans="1:17" ht="75" outlineLevel="2" x14ac:dyDescent="0.2">
      <c r="A364" s="30">
        <v>80110</v>
      </c>
      <c r="B364" s="28"/>
      <c r="C364" s="30">
        <v>922117</v>
      </c>
      <c r="D364" s="59" t="s">
        <v>128</v>
      </c>
      <c r="E364" s="57" t="s">
        <v>10</v>
      </c>
      <c r="F364" s="13">
        <v>1506.01</v>
      </c>
      <c r="G364" s="13">
        <v>0</v>
      </c>
      <c r="H364" s="13">
        <v>0</v>
      </c>
      <c r="I364" s="57">
        <v>0</v>
      </c>
      <c r="J364" s="13"/>
      <c r="K364" s="13">
        <v>1506.01</v>
      </c>
      <c r="L364" s="13">
        <v>10.46</v>
      </c>
      <c r="M364" s="13">
        <v>15752.86</v>
      </c>
      <c r="N364" s="13">
        <v>0</v>
      </c>
      <c r="O364" s="13">
        <v>0</v>
      </c>
      <c r="P364" s="13">
        <v>0</v>
      </c>
      <c r="Q364" s="31">
        <f>PRODUCT(K364,L364)</f>
        <v>15752.864600000001</v>
      </c>
    </row>
    <row r="365" spans="1:17" ht="126" outlineLevel="2" x14ac:dyDescent="0.25">
      <c r="A365" s="30">
        <v>80111</v>
      </c>
      <c r="B365" s="28"/>
      <c r="C365" s="30">
        <v>924672</v>
      </c>
      <c r="D365" s="37" t="s">
        <v>129</v>
      </c>
      <c r="E365" s="57" t="s">
        <v>10</v>
      </c>
      <c r="F365" s="35">
        <f>SUM(F366:F370)</f>
        <v>430.68599999999986</v>
      </c>
      <c r="G365" s="13">
        <v>0</v>
      </c>
      <c r="H365" s="13">
        <v>0</v>
      </c>
      <c r="I365" s="57">
        <v>0</v>
      </c>
      <c r="J365" s="13"/>
      <c r="K365" s="13">
        <v>672.28</v>
      </c>
      <c r="L365" s="13">
        <v>44.77</v>
      </c>
      <c r="M365" s="13">
        <v>30097.97</v>
      </c>
      <c r="N365" s="13">
        <v>0</v>
      </c>
      <c r="O365" s="13">
        <v>0</v>
      </c>
      <c r="P365" s="13">
        <v>0</v>
      </c>
      <c r="Q365" s="31">
        <f>PRODUCT(K365,L365)</f>
        <v>30097.975600000002</v>
      </c>
    </row>
    <row r="366" spans="1:17" ht="15" outlineLevel="2" x14ac:dyDescent="0.2">
      <c r="A366" s="30"/>
      <c r="B366" s="28"/>
      <c r="C366" s="30"/>
      <c r="D366" s="59" t="s">
        <v>556</v>
      </c>
      <c r="E366" s="57"/>
      <c r="F366" s="13">
        <v>34.32</v>
      </c>
      <c r="G366" s="13"/>
      <c r="H366" s="13"/>
      <c r="I366" s="57"/>
      <c r="J366" s="13"/>
      <c r="K366" s="13"/>
      <c r="L366" s="13"/>
      <c r="M366" s="13"/>
      <c r="N366" s="13"/>
      <c r="O366" s="13"/>
      <c r="P366" s="13"/>
      <c r="Q366" s="31"/>
    </row>
    <row r="367" spans="1:17" ht="15" outlineLevel="2" x14ac:dyDescent="0.2">
      <c r="A367" s="30"/>
      <c r="B367" s="28"/>
      <c r="C367" s="30"/>
      <c r="D367" s="59" t="s">
        <v>557</v>
      </c>
      <c r="E367" s="57"/>
      <c r="F367" s="13">
        <v>113.85599999999999</v>
      </c>
      <c r="G367" s="13"/>
      <c r="H367" s="13"/>
      <c r="I367" s="57"/>
      <c r="J367" s="13"/>
      <c r="K367" s="13"/>
      <c r="L367" s="13"/>
      <c r="M367" s="13"/>
      <c r="N367" s="13"/>
      <c r="O367" s="13"/>
      <c r="P367" s="13"/>
      <c r="Q367" s="31"/>
    </row>
    <row r="368" spans="1:17" ht="15" outlineLevel="2" x14ac:dyDescent="0.2">
      <c r="A368" s="30"/>
      <c r="B368" s="28"/>
      <c r="C368" s="30"/>
      <c r="D368" s="59" t="s">
        <v>558</v>
      </c>
      <c r="E368" s="57"/>
      <c r="F368" s="13">
        <v>129.11999999999998</v>
      </c>
      <c r="G368" s="13"/>
      <c r="H368" s="13"/>
      <c r="I368" s="57"/>
      <c r="J368" s="13"/>
      <c r="K368" s="13"/>
      <c r="L368" s="13"/>
      <c r="M368" s="13"/>
      <c r="N368" s="13"/>
      <c r="O368" s="13"/>
      <c r="P368" s="13"/>
      <c r="Q368" s="31"/>
    </row>
    <row r="369" spans="1:17" ht="15" outlineLevel="2" x14ac:dyDescent="0.2">
      <c r="A369" s="30"/>
      <c r="B369" s="28"/>
      <c r="C369" s="30"/>
      <c r="D369" s="59" t="s">
        <v>559</v>
      </c>
      <c r="E369" s="57"/>
      <c r="F369" s="13">
        <v>10.709999999999999</v>
      </c>
      <c r="G369" s="13"/>
      <c r="H369" s="13"/>
      <c r="I369" s="57"/>
      <c r="J369" s="13"/>
      <c r="K369" s="13"/>
      <c r="L369" s="13"/>
      <c r="M369" s="13"/>
      <c r="N369" s="13"/>
      <c r="O369" s="13"/>
      <c r="P369" s="13"/>
      <c r="Q369" s="31"/>
    </row>
    <row r="370" spans="1:17" ht="15" outlineLevel="2" x14ac:dyDescent="0.2">
      <c r="A370" s="30"/>
      <c r="B370" s="28"/>
      <c r="C370" s="30"/>
      <c r="D370" s="59"/>
      <c r="E370" s="57"/>
      <c r="F370" s="13">
        <v>142.67999999999995</v>
      </c>
      <c r="G370" s="13"/>
      <c r="H370" s="13"/>
      <c r="I370" s="57"/>
      <c r="J370" s="13"/>
      <c r="K370" s="13"/>
      <c r="L370" s="13"/>
      <c r="M370" s="13"/>
      <c r="N370" s="13"/>
      <c r="O370" s="13"/>
      <c r="P370" s="13"/>
      <c r="Q370" s="31"/>
    </row>
    <row r="371" spans="1:17" ht="15" outlineLevel="2" x14ac:dyDescent="0.2">
      <c r="A371" s="30"/>
      <c r="B371" s="28"/>
      <c r="C371" s="30"/>
      <c r="D371" s="59"/>
      <c r="E371" s="57"/>
      <c r="F371" s="13"/>
      <c r="G371" s="13"/>
      <c r="H371" s="13"/>
      <c r="I371" s="57"/>
      <c r="J371" s="13"/>
      <c r="K371" s="13"/>
      <c r="L371" s="13"/>
      <c r="M371" s="13"/>
      <c r="N371" s="13"/>
      <c r="O371" s="13"/>
      <c r="P371" s="13"/>
      <c r="Q371" s="31"/>
    </row>
    <row r="372" spans="1:17" ht="110.25" outlineLevel="2" x14ac:dyDescent="0.2">
      <c r="A372" s="30">
        <v>80112</v>
      </c>
      <c r="B372" s="28"/>
      <c r="C372" s="30">
        <v>925321</v>
      </c>
      <c r="D372" s="37" t="s">
        <v>130</v>
      </c>
      <c r="E372" s="57" t="s">
        <v>10</v>
      </c>
      <c r="F372" s="13"/>
      <c r="G372" s="13">
        <v>0</v>
      </c>
      <c r="H372" s="13">
        <v>0</v>
      </c>
      <c r="I372" s="57">
        <v>0</v>
      </c>
      <c r="J372" s="13"/>
      <c r="K372" s="13">
        <v>404.95</v>
      </c>
      <c r="L372" s="13">
        <v>119.41</v>
      </c>
      <c r="M372" s="13">
        <v>48355.07</v>
      </c>
      <c r="N372" s="13">
        <v>0</v>
      </c>
      <c r="O372" s="13">
        <v>0</v>
      </c>
      <c r="P372" s="13">
        <v>0</v>
      </c>
      <c r="Q372" s="31">
        <f>PRODUCT(K372,L372)</f>
        <v>48355.0795</v>
      </c>
    </row>
    <row r="373" spans="1:17" ht="15.75" outlineLevel="2" x14ac:dyDescent="0.25">
      <c r="A373" s="30"/>
      <c r="B373" s="28"/>
      <c r="C373" s="30"/>
      <c r="D373" s="37" t="s">
        <v>545</v>
      </c>
      <c r="E373" s="57"/>
      <c r="F373" s="35">
        <f>SUM(F374:F393)</f>
        <v>282.44799999999998</v>
      </c>
      <c r="G373" s="13"/>
      <c r="H373" s="13"/>
      <c r="I373" s="57"/>
      <c r="J373" s="13"/>
      <c r="K373" s="13"/>
      <c r="L373" s="13"/>
      <c r="M373" s="13"/>
      <c r="N373" s="13"/>
      <c r="O373" s="13"/>
      <c r="P373" s="13"/>
      <c r="Q373" s="31"/>
    </row>
    <row r="374" spans="1:17" ht="15" outlineLevel="2" x14ac:dyDescent="0.2">
      <c r="A374" s="30"/>
      <c r="B374" s="28"/>
      <c r="C374" s="30"/>
      <c r="D374" s="59" t="s">
        <v>546</v>
      </c>
      <c r="E374" s="57"/>
      <c r="F374" s="14">
        <v>14.35</v>
      </c>
      <c r="G374" s="13"/>
      <c r="H374" s="13"/>
      <c r="I374" s="57"/>
      <c r="J374" s="13"/>
      <c r="K374" s="13"/>
      <c r="L374" s="13"/>
      <c r="M374" s="13"/>
      <c r="N374" s="13"/>
      <c r="O374" s="13"/>
      <c r="P374" s="13"/>
      <c r="Q374" s="31"/>
    </row>
    <row r="375" spans="1:17" ht="15" outlineLevel="2" x14ac:dyDescent="0.2">
      <c r="A375" s="30"/>
      <c r="B375" s="28"/>
      <c r="C375" s="30"/>
      <c r="D375" s="59" t="s">
        <v>546</v>
      </c>
      <c r="E375" s="57"/>
      <c r="F375" s="14">
        <v>0.99199999999999999</v>
      </c>
      <c r="G375" s="13"/>
      <c r="H375" s="13"/>
      <c r="I375" s="57"/>
      <c r="J375" s="13"/>
      <c r="K375" s="13"/>
      <c r="L375" s="13"/>
      <c r="M375" s="13"/>
      <c r="N375" s="13"/>
      <c r="O375" s="13"/>
      <c r="P375" s="13"/>
      <c r="Q375" s="31"/>
    </row>
    <row r="376" spans="1:17" ht="15" outlineLevel="2" x14ac:dyDescent="0.2">
      <c r="A376" s="30"/>
      <c r="B376" s="28"/>
      <c r="C376" s="30"/>
      <c r="D376" s="59" t="s">
        <v>547</v>
      </c>
      <c r="E376" s="57"/>
      <c r="F376" s="14">
        <v>5.1449999999999996</v>
      </c>
      <c r="G376" s="13"/>
      <c r="H376" s="13"/>
      <c r="I376" s="57"/>
      <c r="J376" s="13"/>
      <c r="K376" s="13"/>
      <c r="L376" s="13"/>
      <c r="M376" s="13"/>
      <c r="N376" s="13"/>
      <c r="O376" s="13"/>
      <c r="P376" s="13"/>
      <c r="Q376" s="31"/>
    </row>
    <row r="377" spans="1:17" ht="15" outlineLevel="2" x14ac:dyDescent="0.2">
      <c r="A377" s="30"/>
      <c r="B377" s="28"/>
      <c r="C377" s="30"/>
      <c r="D377" s="59" t="s">
        <v>547</v>
      </c>
      <c r="E377" s="57"/>
      <c r="F377" s="14">
        <v>0.99199999999999999</v>
      </c>
      <c r="G377" s="13"/>
      <c r="H377" s="13"/>
      <c r="I377" s="57"/>
      <c r="J377" s="13"/>
      <c r="K377" s="13"/>
      <c r="L377" s="13"/>
      <c r="M377" s="13"/>
      <c r="N377" s="13"/>
      <c r="O377" s="13"/>
      <c r="P377" s="13"/>
      <c r="Q377" s="31"/>
    </row>
    <row r="378" spans="1:17" ht="15" outlineLevel="2" x14ac:dyDescent="0.2">
      <c r="A378" s="30"/>
      <c r="B378" s="28"/>
      <c r="C378" s="30"/>
      <c r="D378" s="59" t="s">
        <v>548</v>
      </c>
      <c r="E378" s="57"/>
      <c r="F378" s="14">
        <v>15.225</v>
      </c>
      <c r="G378" s="13"/>
      <c r="H378" s="13"/>
      <c r="I378" s="57"/>
      <c r="J378" s="13"/>
      <c r="K378" s="13"/>
      <c r="L378" s="13"/>
      <c r="M378" s="13"/>
      <c r="N378" s="13"/>
      <c r="O378" s="13"/>
      <c r="P378" s="13"/>
      <c r="Q378" s="31"/>
    </row>
    <row r="379" spans="1:17" ht="15" outlineLevel="2" x14ac:dyDescent="0.2">
      <c r="A379" s="30"/>
      <c r="B379" s="28"/>
      <c r="C379" s="30"/>
      <c r="D379" s="59" t="s">
        <v>549</v>
      </c>
      <c r="E379" s="57"/>
      <c r="F379" s="14">
        <v>5.88</v>
      </c>
      <c r="G379" s="13"/>
      <c r="H379" s="13"/>
      <c r="I379" s="57"/>
      <c r="J379" s="13"/>
      <c r="K379" s="13"/>
      <c r="L379" s="13"/>
      <c r="M379" s="13"/>
      <c r="N379" s="13"/>
      <c r="O379" s="13"/>
      <c r="P379" s="13"/>
      <c r="Q379" s="31"/>
    </row>
    <row r="380" spans="1:17" ht="15" outlineLevel="2" x14ac:dyDescent="0.2">
      <c r="A380" s="30"/>
      <c r="B380" s="28"/>
      <c r="C380" s="30"/>
      <c r="D380" s="59" t="s">
        <v>549</v>
      </c>
      <c r="E380" s="57"/>
      <c r="F380" s="14">
        <v>4.34</v>
      </c>
      <c r="G380" s="13"/>
      <c r="H380" s="13"/>
      <c r="I380" s="57"/>
      <c r="J380" s="13"/>
      <c r="K380" s="13"/>
      <c r="L380" s="13"/>
      <c r="M380" s="13"/>
      <c r="N380" s="13"/>
      <c r="O380" s="13"/>
      <c r="P380" s="13"/>
      <c r="Q380" s="31"/>
    </row>
    <row r="381" spans="1:17" ht="15" outlineLevel="2" x14ac:dyDescent="0.2">
      <c r="A381" s="30"/>
      <c r="B381" s="28"/>
      <c r="C381" s="30"/>
      <c r="D381" s="59" t="s">
        <v>549</v>
      </c>
      <c r="E381" s="57"/>
      <c r="F381" s="14">
        <v>5.625</v>
      </c>
      <c r="G381" s="13"/>
      <c r="H381" s="13"/>
      <c r="I381" s="57"/>
      <c r="J381" s="13"/>
      <c r="K381" s="13"/>
      <c r="L381" s="13"/>
      <c r="M381" s="13"/>
      <c r="N381" s="13"/>
      <c r="O381" s="13"/>
      <c r="P381" s="13"/>
      <c r="Q381" s="31"/>
    </row>
    <row r="382" spans="1:17" ht="15" outlineLevel="2" x14ac:dyDescent="0.2">
      <c r="A382" s="30"/>
      <c r="B382" s="28"/>
      <c r="C382" s="30"/>
      <c r="D382" s="59" t="s">
        <v>550</v>
      </c>
      <c r="E382" s="57"/>
      <c r="F382" s="14">
        <v>11.76</v>
      </c>
      <c r="G382" s="13"/>
      <c r="H382" s="13"/>
      <c r="I382" s="57"/>
      <c r="J382" s="13"/>
      <c r="K382" s="13"/>
      <c r="L382" s="13"/>
      <c r="M382" s="13"/>
      <c r="N382" s="13"/>
      <c r="O382" s="13"/>
      <c r="P382" s="13"/>
      <c r="Q382" s="31"/>
    </row>
    <row r="383" spans="1:17" ht="15" outlineLevel="2" x14ac:dyDescent="0.2">
      <c r="A383" s="30"/>
      <c r="B383" s="28"/>
      <c r="C383" s="30"/>
      <c r="D383" s="59" t="s">
        <v>550</v>
      </c>
      <c r="E383" s="57"/>
      <c r="F383" s="14">
        <v>4.4640000000000004</v>
      </c>
      <c r="G383" s="13"/>
      <c r="H383" s="13"/>
      <c r="I383" s="57"/>
      <c r="J383" s="13"/>
      <c r="K383" s="13"/>
      <c r="L383" s="13"/>
      <c r="M383" s="13"/>
      <c r="N383" s="13"/>
      <c r="O383" s="13"/>
      <c r="P383" s="13"/>
      <c r="Q383" s="31"/>
    </row>
    <row r="384" spans="1:17" ht="15" outlineLevel="2" x14ac:dyDescent="0.2">
      <c r="A384" s="30"/>
      <c r="B384" s="28"/>
      <c r="C384" s="30"/>
      <c r="D384" s="59" t="s">
        <v>551</v>
      </c>
      <c r="E384" s="57"/>
      <c r="F384" s="14">
        <v>5.88</v>
      </c>
      <c r="G384" s="13"/>
      <c r="H384" s="13"/>
      <c r="I384" s="57"/>
      <c r="J384" s="13"/>
      <c r="K384" s="13"/>
      <c r="L384" s="13"/>
      <c r="M384" s="13"/>
      <c r="N384" s="13"/>
      <c r="O384" s="13"/>
      <c r="P384" s="13"/>
      <c r="Q384" s="31"/>
    </row>
    <row r="385" spans="1:17" ht="15" outlineLevel="2" x14ac:dyDescent="0.2">
      <c r="A385" s="30"/>
      <c r="B385" s="28"/>
      <c r="C385" s="30"/>
      <c r="D385" s="59" t="s">
        <v>551</v>
      </c>
      <c r="E385" s="57"/>
      <c r="F385" s="14">
        <v>2.976</v>
      </c>
      <c r="G385" s="13"/>
      <c r="H385" s="13"/>
      <c r="I385" s="57"/>
      <c r="J385" s="13"/>
      <c r="K385" s="13"/>
      <c r="L385" s="13"/>
      <c r="M385" s="13"/>
      <c r="N385" s="13"/>
      <c r="O385" s="13"/>
      <c r="P385" s="13"/>
      <c r="Q385" s="31"/>
    </row>
    <row r="386" spans="1:17" ht="15" outlineLevel="2" x14ac:dyDescent="0.2">
      <c r="A386" s="30"/>
      <c r="B386" s="28"/>
      <c r="C386" s="30"/>
      <c r="D386" s="59" t="s">
        <v>551</v>
      </c>
      <c r="E386" s="57"/>
      <c r="F386" s="14">
        <v>5.625</v>
      </c>
      <c r="G386" s="13"/>
      <c r="H386" s="13"/>
      <c r="I386" s="57"/>
      <c r="J386" s="13"/>
      <c r="K386" s="13"/>
      <c r="L386" s="13"/>
      <c r="M386" s="13"/>
      <c r="N386" s="13"/>
      <c r="O386" s="13"/>
      <c r="P386" s="13"/>
      <c r="Q386" s="31"/>
    </row>
    <row r="387" spans="1:17" ht="15" outlineLevel="2" x14ac:dyDescent="0.2">
      <c r="A387" s="30"/>
      <c r="B387" s="28"/>
      <c r="C387" s="30"/>
      <c r="D387" s="59" t="s">
        <v>552</v>
      </c>
      <c r="E387" s="57"/>
      <c r="F387" s="14">
        <v>9.75</v>
      </c>
      <c r="G387" s="13"/>
      <c r="H387" s="13"/>
      <c r="I387" s="57"/>
      <c r="J387" s="13"/>
      <c r="K387" s="13"/>
      <c r="L387" s="13"/>
      <c r="M387" s="13"/>
      <c r="N387" s="13"/>
      <c r="O387" s="13"/>
      <c r="P387" s="13"/>
      <c r="Q387" s="31"/>
    </row>
    <row r="388" spans="1:17" ht="15" outlineLevel="2" x14ac:dyDescent="0.2">
      <c r="A388" s="30"/>
      <c r="B388" s="28"/>
      <c r="C388" s="30"/>
      <c r="D388" s="59" t="s">
        <v>553</v>
      </c>
      <c r="E388" s="57"/>
      <c r="F388" s="14">
        <v>23.808</v>
      </c>
      <c r="G388" s="13"/>
      <c r="H388" s="13"/>
      <c r="I388" s="57"/>
      <c r="J388" s="13"/>
      <c r="K388" s="13"/>
      <c r="L388" s="13"/>
      <c r="M388" s="13"/>
      <c r="N388" s="13"/>
      <c r="O388" s="13"/>
      <c r="P388" s="13"/>
      <c r="Q388" s="31"/>
    </row>
    <row r="389" spans="1:17" ht="15" outlineLevel="2" x14ac:dyDescent="0.2">
      <c r="A389" s="30"/>
      <c r="B389" s="28"/>
      <c r="C389" s="30"/>
      <c r="D389" s="59" t="s">
        <v>553</v>
      </c>
      <c r="E389" s="57"/>
      <c r="F389" s="14">
        <v>39.339999999999996</v>
      </c>
      <c r="G389" s="13"/>
      <c r="H389" s="13"/>
      <c r="I389" s="57"/>
      <c r="J389" s="13"/>
      <c r="K389" s="13"/>
      <c r="L389" s="13"/>
      <c r="M389" s="13"/>
      <c r="N389" s="13"/>
      <c r="O389" s="13"/>
      <c r="P389" s="13"/>
      <c r="Q389" s="31"/>
    </row>
    <row r="390" spans="1:17" ht="15" outlineLevel="2" x14ac:dyDescent="0.2">
      <c r="A390" s="30"/>
      <c r="B390" s="28"/>
      <c r="C390" s="30"/>
      <c r="D390" s="59" t="s">
        <v>554</v>
      </c>
      <c r="E390" s="57"/>
      <c r="F390" s="14">
        <v>23.808</v>
      </c>
      <c r="G390" s="13"/>
      <c r="H390" s="13"/>
      <c r="I390" s="57"/>
      <c r="J390" s="13"/>
      <c r="K390" s="13"/>
      <c r="L390" s="13"/>
      <c r="M390" s="13"/>
      <c r="N390" s="13"/>
      <c r="O390" s="13"/>
      <c r="P390" s="13"/>
      <c r="Q390" s="31"/>
    </row>
    <row r="391" spans="1:17" ht="15" outlineLevel="2" x14ac:dyDescent="0.2">
      <c r="A391" s="30"/>
      <c r="B391" s="28"/>
      <c r="C391" s="30"/>
      <c r="D391" s="59" t="s">
        <v>554</v>
      </c>
      <c r="E391" s="57"/>
      <c r="F391" s="14">
        <v>39.339999999999996</v>
      </c>
      <c r="G391" s="13"/>
      <c r="H391" s="13"/>
      <c r="I391" s="57"/>
      <c r="J391" s="13"/>
      <c r="K391" s="13"/>
      <c r="L391" s="13"/>
      <c r="M391" s="13"/>
      <c r="N391" s="13"/>
      <c r="O391" s="13"/>
      <c r="P391" s="13"/>
      <c r="Q391" s="31"/>
    </row>
    <row r="392" spans="1:17" ht="15" outlineLevel="2" x14ac:dyDescent="0.2">
      <c r="A392" s="30"/>
      <c r="B392" s="28"/>
      <c r="C392" s="30"/>
      <c r="D392" s="59" t="s">
        <v>555</v>
      </c>
      <c r="E392" s="57"/>
      <c r="F392" s="14">
        <v>23.808</v>
      </c>
      <c r="G392" s="13"/>
      <c r="H392" s="13"/>
      <c r="I392" s="57"/>
      <c r="J392" s="13"/>
      <c r="K392" s="13"/>
      <c r="L392" s="13"/>
      <c r="M392" s="13"/>
      <c r="N392" s="13"/>
      <c r="O392" s="13"/>
      <c r="P392" s="13"/>
      <c r="Q392" s="31"/>
    </row>
    <row r="393" spans="1:17" ht="15" outlineLevel="2" x14ac:dyDescent="0.2">
      <c r="A393" s="30"/>
      <c r="B393" s="28"/>
      <c r="C393" s="30"/>
      <c r="D393" s="59" t="s">
        <v>555</v>
      </c>
      <c r="E393" s="57"/>
      <c r="F393" s="14">
        <v>39.339999999999996</v>
      </c>
      <c r="G393" s="13"/>
      <c r="H393" s="13"/>
      <c r="I393" s="57"/>
      <c r="J393" s="13"/>
      <c r="K393" s="13"/>
      <c r="L393" s="13"/>
      <c r="M393" s="13"/>
      <c r="N393" s="13"/>
      <c r="O393" s="13"/>
      <c r="P393" s="13"/>
      <c r="Q393" s="31"/>
    </row>
    <row r="394" spans="1:17" ht="15" outlineLevel="2" x14ac:dyDescent="0.2">
      <c r="A394" s="30"/>
      <c r="B394" s="28"/>
      <c r="C394" s="30"/>
      <c r="D394" s="59"/>
      <c r="E394" s="57"/>
      <c r="F394" s="13"/>
      <c r="G394" s="13"/>
      <c r="H394" s="13"/>
      <c r="I394" s="57"/>
      <c r="J394" s="13"/>
      <c r="K394" s="13"/>
      <c r="L394" s="13"/>
      <c r="M394" s="13"/>
      <c r="N394" s="13"/>
      <c r="O394" s="13"/>
      <c r="P394" s="13"/>
      <c r="Q394" s="31"/>
    </row>
    <row r="395" spans="1:17" ht="15" outlineLevel="2" x14ac:dyDescent="0.2">
      <c r="A395" s="30"/>
      <c r="B395" s="28"/>
      <c r="C395" s="30"/>
      <c r="D395" s="59"/>
      <c r="E395" s="57"/>
      <c r="F395" s="13"/>
      <c r="G395" s="13"/>
      <c r="H395" s="13"/>
      <c r="I395" s="57"/>
      <c r="J395" s="13"/>
      <c r="K395" s="13"/>
      <c r="L395" s="13"/>
      <c r="M395" s="13"/>
      <c r="N395" s="13"/>
      <c r="O395" s="13"/>
      <c r="P395" s="13"/>
      <c r="Q395" s="31"/>
    </row>
    <row r="396" spans="1:17" ht="45" outlineLevel="2" x14ac:dyDescent="0.2">
      <c r="A396" s="30">
        <v>80113</v>
      </c>
      <c r="B396" s="28"/>
      <c r="C396" s="30">
        <v>925322</v>
      </c>
      <c r="D396" s="59" t="s">
        <v>131</v>
      </c>
      <c r="E396" s="57" t="s">
        <v>15</v>
      </c>
      <c r="F396" s="13">
        <v>462.5</v>
      </c>
      <c r="G396" s="13">
        <v>0</v>
      </c>
      <c r="H396" s="13">
        <v>0</v>
      </c>
      <c r="I396" s="57">
        <v>0</v>
      </c>
      <c r="J396" s="13"/>
      <c r="K396" s="13">
        <v>462.5</v>
      </c>
      <c r="L396" s="13">
        <v>24.24</v>
      </c>
      <c r="M396" s="13">
        <v>11211</v>
      </c>
      <c r="N396" s="13">
        <v>0</v>
      </c>
      <c r="O396" s="13">
        <v>0</v>
      </c>
      <c r="P396" s="13">
        <v>0</v>
      </c>
      <c r="Q396" s="31">
        <f>PRODUCT(K396,L396)</f>
        <v>11211</v>
      </c>
    </row>
    <row r="397" spans="1:17" ht="15" outlineLevel="2" x14ac:dyDescent="0.2">
      <c r="A397" s="30"/>
      <c r="B397" s="28"/>
      <c r="C397" s="30"/>
      <c r="D397" s="59"/>
      <c r="E397" s="57"/>
      <c r="F397" s="13"/>
      <c r="G397" s="13"/>
      <c r="H397" s="13"/>
      <c r="I397" s="57"/>
      <c r="J397" s="13"/>
      <c r="K397" s="13"/>
      <c r="L397" s="13"/>
      <c r="M397" s="13"/>
      <c r="N397" s="13"/>
      <c r="O397" s="13"/>
      <c r="P397" s="13"/>
      <c r="Q397" s="31"/>
    </row>
    <row r="398" spans="1:17" ht="15.75" outlineLevel="2" x14ac:dyDescent="0.2">
      <c r="A398" s="30">
        <v>80114</v>
      </c>
      <c r="B398" s="28"/>
      <c r="C398" s="30">
        <v>925323</v>
      </c>
      <c r="D398" s="37" t="s">
        <v>665</v>
      </c>
      <c r="E398" s="57" t="s">
        <v>634</v>
      </c>
      <c r="F398" s="13"/>
      <c r="G398" s="13">
        <v>0</v>
      </c>
      <c r="H398" s="13">
        <v>0</v>
      </c>
      <c r="I398" s="57">
        <f>ROUND(SUM(I400:I460),2)</f>
        <v>1122.6300000000001</v>
      </c>
      <c r="J398" s="110">
        <f>I398-920.25</f>
        <v>202.38000000000011</v>
      </c>
      <c r="K398" s="13"/>
      <c r="L398" s="13">
        <v>21.51</v>
      </c>
      <c r="M398" s="13">
        <v>3232.52</v>
      </c>
      <c r="N398" s="13">
        <v>0</v>
      </c>
      <c r="O398" s="13">
        <v>0</v>
      </c>
      <c r="P398" s="13">
        <v>0</v>
      </c>
      <c r="Q398" s="31">
        <f>PRODUCT(K398,L398)</f>
        <v>21.51</v>
      </c>
    </row>
    <row r="399" spans="1:17" ht="15.75" outlineLevel="2" x14ac:dyDescent="0.25">
      <c r="A399" s="30"/>
      <c r="B399" s="28"/>
      <c r="C399" s="30"/>
      <c r="D399" s="37" t="s">
        <v>708</v>
      </c>
      <c r="E399" s="57"/>
      <c r="F399" s="13"/>
      <c r="G399" s="13"/>
      <c r="H399" s="13"/>
      <c r="I399" s="57"/>
      <c r="J399" s="26" t="s">
        <v>709</v>
      </c>
      <c r="K399" s="13"/>
      <c r="L399" s="13"/>
      <c r="M399" s="13"/>
      <c r="N399" s="13"/>
      <c r="O399" s="13"/>
      <c r="P399" s="13"/>
      <c r="Q399" s="31"/>
    </row>
    <row r="400" spans="1:17" ht="15" outlineLevel="2" x14ac:dyDescent="0.2">
      <c r="A400" s="30"/>
      <c r="B400" s="28"/>
      <c r="C400" s="30"/>
      <c r="D400" s="59" t="s">
        <v>467</v>
      </c>
      <c r="E400" s="57"/>
      <c r="F400" s="13"/>
      <c r="G400" s="13"/>
      <c r="H400" s="13"/>
      <c r="I400" s="59">
        <f>(0.31*4)*6</f>
        <v>7.4399999999999995</v>
      </c>
      <c r="J400" s="14" t="s">
        <v>710</v>
      </c>
      <c r="K400" s="13"/>
      <c r="L400" s="13"/>
      <c r="M400" s="13"/>
      <c r="N400" s="13"/>
      <c r="O400" s="13"/>
      <c r="P400" s="13"/>
      <c r="Q400" s="31"/>
    </row>
    <row r="401" spans="1:17" ht="15" outlineLevel="2" x14ac:dyDescent="0.2">
      <c r="A401" s="30"/>
      <c r="B401" s="28"/>
      <c r="C401" s="30"/>
      <c r="D401" s="59" t="s">
        <v>468</v>
      </c>
      <c r="E401" s="57"/>
      <c r="F401" s="13"/>
      <c r="G401" s="13"/>
      <c r="H401" s="13"/>
      <c r="I401" s="59" t="s">
        <v>528</v>
      </c>
      <c r="J401" s="14" t="s">
        <v>528</v>
      </c>
      <c r="K401" s="13"/>
      <c r="L401" s="13"/>
      <c r="M401" s="13"/>
      <c r="N401" s="13"/>
      <c r="O401" s="13"/>
      <c r="P401" s="13"/>
      <c r="Q401" s="31"/>
    </row>
    <row r="402" spans="1:17" ht="15" outlineLevel="2" x14ac:dyDescent="0.2">
      <c r="A402" s="30"/>
      <c r="B402" s="28"/>
      <c r="C402" s="30"/>
      <c r="D402" s="59" t="s">
        <v>469</v>
      </c>
      <c r="E402" s="57"/>
      <c r="F402" s="13"/>
      <c r="G402" s="13"/>
      <c r="H402" s="13"/>
      <c r="I402" s="59">
        <f>3.45+1.05+0.85+2.02+3.55+3.07+0.13+0.17*2</f>
        <v>14.459999999999999</v>
      </c>
      <c r="J402" s="14" t="s">
        <v>711</v>
      </c>
      <c r="K402" s="13"/>
      <c r="L402" s="13"/>
      <c r="M402" s="13"/>
      <c r="N402" s="13"/>
      <c r="O402" s="13"/>
      <c r="P402" s="13"/>
      <c r="Q402" s="31"/>
    </row>
    <row r="403" spans="1:17" ht="30" outlineLevel="2" x14ac:dyDescent="0.2">
      <c r="A403" s="30"/>
      <c r="B403" s="28"/>
      <c r="C403" s="30"/>
      <c r="D403" s="59" t="s">
        <v>470</v>
      </c>
      <c r="E403" s="57"/>
      <c r="F403" s="13"/>
      <c r="G403" s="13"/>
      <c r="H403" s="13"/>
      <c r="I403" s="59">
        <f>(3.55+2.02+0.85+2.95+0.86+1.32+1.39+1.39+(0.6*4)+(0.15*2)+6.74+(0.15*4)+(0.13*2))</f>
        <v>24.630000000000006</v>
      </c>
      <c r="J403" s="14" t="s">
        <v>713</v>
      </c>
      <c r="K403" s="14"/>
      <c r="L403" s="13"/>
      <c r="M403" s="13"/>
      <c r="N403" s="13"/>
      <c r="O403" s="13"/>
      <c r="P403" s="13"/>
      <c r="Q403" s="31"/>
    </row>
    <row r="404" spans="1:17" ht="15" outlineLevel="2" x14ac:dyDescent="0.2">
      <c r="A404" s="30"/>
      <c r="B404" s="28"/>
      <c r="C404" s="30"/>
      <c r="D404" s="59" t="s">
        <v>471</v>
      </c>
      <c r="E404" s="57"/>
      <c r="F404" s="13"/>
      <c r="G404" s="13"/>
      <c r="H404" s="13"/>
      <c r="I404" s="59">
        <f>(7.46+1.21+3.2)-(0.9*3)</f>
        <v>9.1700000000000017</v>
      </c>
      <c r="J404" s="14" t="s">
        <v>712</v>
      </c>
      <c r="K404" s="13"/>
      <c r="L404" s="13"/>
      <c r="M404" s="13"/>
      <c r="N404" s="13"/>
      <c r="O404" s="13"/>
      <c r="P404" s="13"/>
      <c r="Q404" s="31"/>
    </row>
    <row r="405" spans="1:17" ht="15" outlineLevel="2" x14ac:dyDescent="0.2">
      <c r="A405" s="30"/>
      <c r="B405" s="28"/>
      <c r="C405" s="30"/>
      <c r="D405" s="59" t="s">
        <v>472</v>
      </c>
      <c r="E405" s="57"/>
      <c r="F405" s="13"/>
      <c r="G405" s="13"/>
      <c r="H405" s="13"/>
      <c r="I405" s="59">
        <f>((2.6+4.39)*2)-0.9+(0.13+0.15*2)</f>
        <v>13.51</v>
      </c>
      <c r="J405" s="14" t="s">
        <v>714</v>
      </c>
      <c r="K405" s="13"/>
      <c r="L405" s="13"/>
      <c r="M405" s="13"/>
      <c r="N405" s="13"/>
      <c r="O405" s="13"/>
      <c r="P405" s="13"/>
      <c r="Q405" s="31"/>
    </row>
    <row r="406" spans="1:17" ht="15" outlineLevel="2" x14ac:dyDescent="0.2">
      <c r="A406" s="30"/>
      <c r="B406" s="28"/>
      <c r="C406" s="30"/>
      <c r="D406" s="59" t="s">
        <v>473</v>
      </c>
      <c r="E406" s="57"/>
      <c r="F406" s="13"/>
      <c r="G406" s="13"/>
      <c r="H406" s="13"/>
      <c r="I406" s="59">
        <f>(1.6+3.05+1.6)-(0.9)-(0.97*2)</f>
        <v>3.4099999999999997</v>
      </c>
      <c r="J406" s="14" t="s">
        <v>715</v>
      </c>
      <c r="K406" s="13"/>
      <c r="L406" s="13"/>
      <c r="M406" s="13"/>
      <c r="N406" s="13"/>
      <c r="O406" s="13"/>
      <c r="P406" s="13"/>
      <c r="Q406" s="31"/>
    </row>
    <row r="407" spans="1:17" ht="15" outlineLevel="2" x14ac:dyDescent="0.2">
      <c r="A407" s="30"/>
      <c r="B407" s="28"/>
      <c r="C407" s="30"/>
      <c r="D407" s="59" t="s">
        <v>474</v>
      </c>
      <c r="E407" s="57"/>
      <c r="F407" s="13"/>
      <c r="G407" s="13"/>
      <c r="H407" s="13"/>
      <c r="I407" s="59">
        <f>((1.85+4.4)*2)-0.9</f>
        <v>11.6</v>
      </c>
      <c r="J407" s="14" t="s">
        <v>716</v>
      </c>
      <c r="K407" s="13"/>
      <c r="L407" s="13"/>
      <c r="M407" s="13"/>
      <c r="N407" s="13"/>
      <c r="O407" s="13"/>
      <c r="P407" s="13"/>
      <c r="Q407" s="31"/>
    </row>
    <row r="408" spans="1:17" ht="15" outlineLevel="2" x14ac:dyDescent="0.2">
      <c r="A408" s="30"/>
      <c r="B408" s="28"/>
      <c r="C408" s="30"/>
      <c r="D408" s="59" t="s">
        <v>475</v>
      </c>
      <c r="E408" s="57"/>
      <c r="F408" s="13"/>
      <c r="G408" s="13"/>
      <c r="H408" s="13"/>
      <c r="I408" s="59">
        <f>((3.46+4.4)*2)-0.9</f>
        <v>14.82</v>
      </c>
      <c r="J408" s="14" t="s">
        <v>717</v>
      </c>
      <c r="K408" s="13"/>
      <c r="L408" s="13"/>
      <c r="M408" s="13"/>
      <c r="N408" s="13"/>
      <c r="O408" s="13"/>
      <c r="P408" s="13"/>
      <c r="Q408" s="31"/>
    </row>
    <row r="409" spans="1:17" ht="15" outlineLevel="2" x14ac:dyDescent="0.2">
      <c r="A409" s="30"/>
      <c r="B409" s="28"/>
      <c r="C409" s="30"/>
      <c r="D409" s="59" t="s">
        <v>476</v>
      </c>
      <c r="E409" s="57"/>
      <c r="F409" s="13"/>
      <c r="G409" s="13"/>
      <c r="H409" s="13"/>
      <c r="I409" s="59" t="s">
        <v>528</v>
      </c>
      <c r="J409" s="14" t="s">
        <v>528</v>
      </c>
      <c r="K409" s="13"/>
      <c r="L409" s="13"/>
      <c r="M409" s="13"/>
      <c r="N409" s="13"/>
      <c r="O409" s="13"/>
      <c r="P409" s="13"/>
      <c r="Q409" s="31"/>
    </row>
    <row r="410" spans="1:17" ht="15" outlineLevel="2" x14ac:dyDescent="0.2">
      <c r="A410" s="30"/>
      <c r="B410" s="28"/>
      <c r="C410" s="30"/>
      <c r="D410" s="59"/>
      <c r="E410" s="57"/>
      <c r="F410" s="13"/>
      <c r="G410" s="13"/>
      <c r="H410" s="13"/>
      <c r="I410" s="59"/>
      <c r="J410" s="14"/>
      <c r="K410" s="13"/>
      <c r="L410" s="13"/>
      <c r="M410" s="13"/>
      <c r="N410" s="13"/>
      <c r="O410" s="13"/>
      <c r="P410" s="13"/>
      <c r="Q410" s="31"/>
    </row>
    <row r="411" spans="1:17" ht="15.75" outlineLevel="2" x14ac:dyDescent="0.2">
      <c r="A411" s="30"/>
      <c r="B411" s="28"/>
      <c r="C411" s="30"/>
      <c r="D411" s="37" t="s">
        <v>529</v>
      </c>
      <c r="E411" s="57"/>
      <c r="F411" s="13"/>
      <c r="G411" s="13"/>
      <c r="H411" s="13"/>
      <c r="I411" s="59"/>
      <c r="J411" s="14"/>
      <c r="K411" s="13"/>
      <c r="L411" s="13"/>
      <c r="M411" s="13"/>
      <c r="N411" s="13"/>
      <c r="O411" s="13"/>
      <c r="P411" s="13"/>
      <c r="Q411" s="31"/>
    </row>
    <row r="412" spans="1:17" ht="15" outlineLevel="2" x14ac:dyDescent="0.2">
      <c r="A412" s="30"/>
      <c r="B412" s="28"/>
      <c r="C412" s="30"/>
      <c r="D412" s="59" t="s">
        <v>477</v>
      </c>
      <c r="E412" s="57"/>
      <c r="F412" s="13"/>
      <c r="G412" s="13"/>
      <c r="H412" s="13"/>
      <c r="I412" s="59">
        <f>(7.35+8.35+7.35+2.76+1.13+4.79)-5.75-1.075</f>
        <v>24.904999999999994</v>
      </c>
      <c r="J412" s="14" t="s">
        <v>560</v>
      </c>
      <c r="K412" s="13"/>
      <c r="L412" s="13"/>
      <c r="M412" s="13"/>
      <c r="N412" s="13"/>
      <c r="O412" s="13"/>
      <c r="P412" s="13"/>
      <c r="Q412" s="31"/>
    </row>
    <row r="413" spans="1:17" ht="30" outlineLevel="2" x14ac:dyDescent="0.2">
      <c r="A413" s="30"/>
      <c r="B413" s="28"/>
      <c r="C413" s="30"/>
      <c r="D413" s="59" t="s">
        <v>478</v>
      </c>
      <c r="E413" s="57"/>
      <c r="F413" s="13"/>
      <c r="G413" s="13"/>
      <c r="H413" s="13"/>
      <c r="I413" s="59">
        <f>(7.35+3.37+7.35+1+0.8+1.38+0.8+1+0.8+0.15+0.15)-5.75-1.075</f>
        <v>17.324999999999999</v>
      </c>
      <c r="J413" s="14" t="s">
        <v>561</v>
      </c>
      <c r="K413" s="13"/>
      <c r="L413" s="13"/>
      <c r="M413" s="13"/>
      <c r="N413" s="13"/>
      <c r="O413" s="13"/>
      <c r="P413" s="13"/>
      <c r="Q413" s="31"/>
    </row>
    <row r="414" spans="1:17" ht="30" outlineLevel="2" x14ac:dyDescent="0.2">
      <c r="A414" s="30"/>
      <c r="B414" s="28"/>
      <c r="C414" s="30"/>
      <c r="D414" s="59" t="s">
        <v>479</v>
      </c>
      <c r="E414" s="57"/>
      <c r="F414" s="13"/>
      <c r="G414" s="13"/>
      <c r="H414" s="13"/>
      <c r="I414" s="59">
        <f>(6.55+2.27+0.47+0.15+0.47+2.25+0.47+0.15+0.47+2.25+0.47+0.15+0.47+2.27+7.35+7.21+1.13+1.48)-1.075-2.15</f>
        <v>32.805</v>
      </c>
      <c r="J414" s="14" t="s">
        <v>562</v>
      </c>
      <c r="K414" s="13"/>
      <c r="L414" s="13"/>
      <c r="M414" s="13"/>
      <c r="N414" s="13"/>
      <c r="O414" s="13"/>
      <c r="P414" s="13"/>
      <c r="Q414" s="31"/>
    </row>
    <row r="415" spans="1:17" ht="15" outlineLevel="2" x14ac:dyDescent="0.2">
      <c r="A415" s="30"/>
      <c r="B415" s="28"/>
      <c r="C415" s="30"/>
      <c r="D415" s="59" t="s">
        <v>480</v>
      </c>
      <c r="E415" s="57"/>
      <c r="F415" s="13"/>
      <c r="G415" s="13"/>
      <c r="H415" s="13"/>
      <c r="I415" s="59" t="s">
        <v>528</v>
      </c>
      <c r="J415" s="14" t="s">
        <v>528</v>
      </c>
      <c r="K415" s="13"/>
      <c r="L415" s="13"/>
      <c r="M415" s="13"/>
      <c r="N415" s="13"/>
      <c r="O415" s="13"/>
      <c r="P415" s="13"/>
      <c r="Q415" s="31"/>
    </row>
    <row r="416" spans="1:17" ht="15" outlineLevel="2" x14ac:dyDescent="0.2">
      <c r="A416" s="30"/>
      <c r="B416" s="28"/>
      <c r="C416" s="30"/>
      <c r="D416" s="59"/>
      <c r="E416" s="57"/>
      <c r="F416" s="13"/>
      <c r="G416" s="13"/>
      <c r="H416" s="13"/>
      <c r="I416" s="59"/>
      <c r="J416" s="14"/>
      <c r="K416" s="13"/>
      <c r="L416" s="13"/>
      <c r="M416" s="13"/>
      <c r="N416" s="13"/>
      <c r="O416" s="13"/>
      <c r="P416" s="13"/>
      <c r="Q416" s="31"/>
    </row>
    <row r="417" spans="1:17" ht="15.75" outlineLevel="2" x14ac:dyDescent="0.2">
      <c r="A417" s="30"/>
      <c r="B417" s="28"/>
      <c r="C417" s="30"/>
      <c r="D417" s="37" t="s">
        <v>530</v>
      </c>
      <c r="E417" s="57"/>
      <c r="F417" s="13"/>
      <c r="G417" s="13"/>
      <c r="H417" s="13"/>
      <c r="I417" s="59" t="s">
        <v>527</v>
      </c>
      <c r="J417" s="14" t="s">
        <v>527</v>
      </c>
      <c r="K417" s="13"/>
      <c r="L417" s="13"/>
      <c r="M417" s="13"/>
      <c r="N417" s="13"/>
      <c r="O417" s="13"/>
      <c r="P417" s="13"/>
      <c r="Q417" s="31"/>
    </row>
    <row r="418" spans="1:17" ht="15" outlineLevel="2" x14ac:dyDescent="0.2">
      <c r="A418" s="30"/>
      <c r="B418" s="28"/>
      <c r="C418" s="30"/>
      <c r="D418" s="59" t="s">
        <v>487</v>
      </c>
      <c r="E418" s="57"/>
      <c r="F418" s="13"/>
      <c r="G418" s="13"/>
      <c r="H418" s="13"/>
      <c r="I418" s="59">
        <f>(6.45+7.09+7.35+4.82+1.12+1.48)-1.075</f>
        <v>27.235000000000003</v>
      </c>
      <c r="J418" s="14" t="s">
        <v>563</v>
      </c>
      <c r="K418" s="13"/>
      <c r="L418" s="13"/>
      <c r="M418" s="13"/>
      <c r="N418" s="13"/>
      <c r="O418" s="13"/>
      <c r="P418" s="13"/>
      <c r="Q418" s="31"/>
    </row>
    <row r="419" spans="1:17" ht="15" outlineLevel="2" x14ac:dyDescent="0.2">
      <c r="A419" s="30"/>
      <c r="B419" s="28"/>
      <c r="C419" s="30"/>
      <c r="D419" s="59" t="s">
        <v>488</v>
      </c>
      <c r="E419" s="57"/>
      <c r="F419" s="13"/>
      <c r="G419" s="13"/>
      <c r="H419" s="13"/>
      <c r="I419" s="59">
        <f>(6.58+9.47+7.35+7.19+1.13+1.48)-1.075</f>
        <v>32.124999999999993</v>
      </c>
      <c r="J419" s="14" t="s">
        <v>564</v>
      </c>
      <c r="K419" s="13"/>
      <c r="L419" s="13"/>
      <c r="M419" s="13"/>
      <c r="N419" s="13"/>
      <c r="O419" s="13"/>
      <c r="P419" s="13"/>
      <c r="Q419" s="31"/>
    </row>
    <row r="420" spans="1:17" ht="15" outlineLevel="2" x14ac:dyDescent="0.2">
      <c r="A420" s="30"/>
      <c r="B420" s="28"/>
      <c r="C420" s="30"/>
      <c r="D420" s="59" t="s">
        <v>489</v>
      </c>
      <c r="E420" s="57"/>
      <c r="F420" s="13"/>
      <c r="G420" s="13"/>
      <c r="H420" s="13"/>
      <c r="I420" s="59">
        <f>(7.35+4.69+6.55+1.46+1.13+2.41)-1.075</f>
        <v>22.515000000000001</v>
      </c>
      <c r="J420" s="14" t="s">
        <v>565</v>
      </c>
      <c r="K420" s="13"/>
      <c r="L420" s="13"/>
      <c r="M420" s="13"/>
      <c r="N420" s="13"/>
      <c r="O420" s="13"/>
      <c r="P420" s="13"/>
      <c r="Q420" s="31"/>
    </row>
    <row r="421" spans="1:17" ht="15" outlineLevel="2" x14ac:dyDescent="0.2">
      <c r="A421" s="30"/>
      <c r="B421" s="28"/>
      <c r="C421" s="30"/>
      <c r="D421" s="59" t="s">
        <v>480</v>
      </c>
      <c r="E421" s="57"/>
      <c r="F421" s="13"/>
      <c r="G421" s="13"/>
      <c r="H421" s="13"/>
      <c r="I421" s="59" t="s">
        <v>528</v>
      </c>
      <c r="J421" s="14" t="s">
        <v>528</v>
      </c>
      <c r="K421" s="13"/>
      <c r="L421" s="13"/>
      <c r="M421" s="13"/>
      <c r="N421" s="13"/>
      <c r="O421" s="13"/>
      <c r="P421" s="13"/>
      <c r="Q421" s="31"/>
    </row>
    <row r="422" spans="1:17" ht="15" outlineLevel="2" x14ac:dyDescent="0.2">
      <c r="A422" s="30"/>
      <c r="B422" s="28"/>
      <c r="C422" s="30"/>
      <c r="D422" s="59" t="s">
        <v>531</v>
      </c>
      <c r="E422" s="57"/>
      <c r="F422" s="13"/>
      <c r="G422" s="13"/>
      <c r="H422" s="13"/>
      <c r="I422" s="59" t="s">
        <v>527</v>
      </c>
      <c r="J422" s="14" t="s">
        <v>527</v>
      </c>
      <c r="K422" s="13"/>
      <c r="L422" s="13"/>
      <c r="M422" s="13"/>
      <c r="N422" s="13"/>
      <c r="O422" s="13"/>
      <c r="P422" s="13"/>
      <c r="Q422" s="31"/>
    </row>
    <row r="423" spans="1:17" ht="15" outlineLevel="2" x14ac:dyDescent="0.2">
      <c r="A423" s="30"/>
      <c r="B423" s="28"/>
      <c r="C423" s="30"/>
      <c r="D423" s="59"/>
      <c r="E423" s="57"/>
      <c r="F423" s="13"/>
      <c r="G423" s="13"/>
      <c r="H423" s="13"/>
      <c r="I423" s="59"/>
      <c r="J423" s="14"/>
      <c r="K423" s="13"/>
      <c r="L423" s="13"/>
      <c r="M423" s="13"/>
      <c r="N423" s="13"/>
      <c r="O423" s="13"/>
      <c r="P423" s="13"/>
      <c r="Q423" s="31"/>
    </row>
    <row r="424" spans="1:17" ht="15.75" outlineLevel="2" x14ac:dyDescent="0.2">
      <c r="A424" s="30"/>
      <c r="B424" s="28"/>
      <c r="C424" s="30"/>
      <c r="D424" s="37" t="s">
        <v>406</v>
      </c>
      <c r="E424" s="57"/>
      <c r="F424" s="13"/>
      <c r="G424" s="13"/>
      <c r="H424" s="13"/>
      <c r="I424" s="59"/>
      <c r="J424" s="14"/>
      <c r="K424" s="13"/>
      <c r="L424" s="13"/>
      <c r="M424" s="13"/>
      <c r="N424" s="13"/>
      <c r="O424" s="13"/>
      <c r="P424" s="13"/>
      <c r="Q424" s="31"/>
    </row>
    <row r="425" spans="1:17" ht="15" outlineLevel="2" x14ac:dyDescent="0.2">
      <c r="A425" s="30"/>
      <c r="B425" s="28"/>
      <c r="C425" s="30"/>
      <c r="D425" s="59" t="s">
        <v>504</v>
      </c>
      <c r="E425" s="57"/>
      <c r="F425" s="13"/>
      <c r="G425" s="13"/>
      <c r="H425" s="13"/>
      <c r="I425" s="59">
        <f>(18.12*12.45)</f>
        <v>225.59399999999999</v>
      </c>
      <c r="J425" s="14" t="s">
        <v>566</v>
      </c>
      <c r="K425" s="13"/>
      <c r="L425" s="13"/>
      <c r="M425" s="13"/>
      <c r="N425" s="13"/>
      <c r="O425" s="13"/>
      <c r="P425" s="13"/>
      <c r="Q425" s="31"/>
    </row>
    <row r="426" spans="1:17" ht="15.75" outlineLevel="2" x14ac:dyDescent="0.2">
      <c r="A426" s="30"/>
      <c r="B426" s="28"/>
      <c r="C426" s="30"/>
      <c r="D426" s="37" t="s">
        <v>532</v>
      </c>
      <c r="E426" s="57"/>
      <c r="F426" s="13"/>
      <c r="G426" s="13"/>
      <c r="H426" s="13"/>
      <c r="I426" s="59" t="s">
        <v>527</v>
      </c>
      <c r="J426" s="14" t="s">
        <v>527</v>
      </c>
      <c r="K426" s="13"/>
      <c r="L426" s="13"/>
      <c r="M426" s="13"/>
      <c r="N426" s="13"/>
      <c r="O426" s="13"/>
      <c r="P426" s="13"/>
      <c r="Q426" s="31"/>
    </row>
    <row r="427" spans="1:17" ht="15" outlineLevel="2" x14ac:dyDescent="0.2">
      <c r="A427" s="30"/>
      <c r="B427" s="28"/>
      <c r="C427" s="30"/>
      <c r="D427" s="59" t="s">
        <v>505</v>
      </c>
      <c r="E427" s="57"/>
      <c r="F427" s="13"/>
      <c r="G427" s="13"/>
      <c r="H427" s="13"/>
      <c r="I427" s="59">
        <f>(4.81+7.37+7.08+6.57+1.48+1.13+4.81)-1.075</f>
        <v>32.174999999999997</v>
      </c>
      <c r="J427" s="14" t="s">
        <v>567</v>
      </c>
      <c r="K427" s="13"/>
      <c r="L427" s="13"/>
      <c r="M427" s="13"/>
      <c r="N427" s="13"/>
      <c r="O427" s="13"/>
      <c r="P427" s="13"/>
      <c r="Q427" s="31"/>
    </row>
    <row r="428" spans="1:17" ht="15" outlineLevel="2" x14ac:dyDescent="0.2">
      <c r="A428" s="30"/>
      <c r="B428" s="28"/>
      <c r="C428" s="30"/>
      <c r="D428" s="59" t="s">
        <v>505</v>
      </c>
      <c r="E428" s="57"/>
      <c r="F428" s="13"/>
      <c r="G428" s="13"/>
      <c r="H428" s="13"/>
      <c r="I428" s="59">
        <f>(4.81+7.37+7.08+6.57+1.48+1.13+4.81)-1.075</f>
        <v>32.174999999999997</v>
      </c>
      <c r="J428" s="14" t="s">
        <v>567</v>
      </c>
      <c r="K428" s="13"/>
      <c r="L428" s="13"/>
      <c r="M428" s="13"/>
      <c r="N428" s="13"/>
      <c r="O428" s="13"/>
      <c r="P428" s="13"/>
      <c r="Q428" s="31"/>
    </row>
    <row r="429" spans="1:17" ht="15" outlineLevel="2" x14ac:dyDescent="0.2">
      <c r="A429" s="30"/>
      <c r="B429" s="28"/>
      <c r="C429" s="30"/>
      <c r="D429" s="59" t="s">
        <v>505</v>
      </c>
      <c r="E429" s="57"/>
      <c r="F429" s="13"/>
      <c r="G429" s="13"/>
      <c r="H429" s="13"/>
      <c r="I429" s="59">
        <f>(4.81+7.37+7.08+6.57+1.48+1.13+4.81)-1.075</f>
        <v>32.174999999999997</v>
      </c>
      <c r="J429" s="14" t="s">
        <v>567</v>
      </c>
      <c r="K429" s="13"/>
      <c r="L429" s="13"/>
      <c r="M429" s="13"/>
      <c r="N429" s="13"/>
      <c r="O429" s="13"/>
      <c r="P429" s="13"/>
      <c r="Q429" s="31"/>
    </row>
    <row r="430" spans="1:17" ht="15" outlineLevel="2" x14ac:dyDescent="0.2">
      <c r="A430" s="30"/>
      <c r="B430" s="28"/>
      <c r="C430" s="30"/>
      <c r="D430" s="59" t="s">
        <v>505</v>
      </c>
      <c r="E430" s="57"/>
      <c r="F430" s="13"/>
      <c r="G430" s="13"/>
      <c r="H430" s="13"/>
      <c r="I430" s="59">
        <f>(4.81+7.37+7.08+6.57+1.48+1.13+4.81)-1.075</f>
        <v>32.174999999999997</v>
      </c>
      <c r="J430" s="14" t="s">
        <v>567</v>
      </c>
      <c r="K430" s="13"/>
      <c r="L430" s="13"/>
      <c r="M430" s="13"/>
      <c r="N430" s="13"/>
      <c r="O430" s="13"/>
      <c r="P430" s="13"/>
      <c r="Q430" s="31"/>
    </row>
    <row r="431" spans="1:17" ht="15" outlineLevel="2" x14ac:dyDescent="0.2">
      <c r="A431" s="30"/>
      <c r="B431" s="28"/>
      <c r="C431" s="30"/>
      <c r="D431" s="59" t="s">
        <v>507</v>
      </c>
      <c r="E431" s="57"/>
      <c r="F431" s="13"/>
      <c r="G431" s="13"/>
      <c r="H431" s="13"/>
      <c r="I431" s="59" t="s">
        <v>528</v>
      </c>
      <c r="J431" s="14" t="s">
        <v>528</v>
      </c>
      <c r="K431" s="13"/>
      <c r="L431" s="13"/>
      <c r="M431" s="13"/>
      <c r="N431" s="13"/>
      <c r="O431" s="13"/>
      <c r="P431" s="13"/>
      <c r="Q431" s="31"/>
    </row>
    <row r="432" spans="1:17" ht="15" outlineLevel="2" x14ac:dyDescent="0.2">
      <c r="A432" s="30"/>
      <c r="B432" s="28"/>
      <c r="C432" s="30"/>
      <c r="D432" s="59" t="s">
        <v>533</v>
      </c>
      <c r="E432" s="57"/>
      <c r="F432" s="13"/>
      <c r="G432" s="13"/>
      <c r="H432" s="13"/>
      <c r="I432" s="59">
        <f>5.2+0.4+5.2+0.4</f>
        <v>11.200000000000001</v>
      </c>
      <c r="J432" s="14" t="s">
        <v>568</v>
      </c>
      <c r="K432" s="13"/>
      <c r="L432" s="13"/>
      <c r="M432" s="13"/>
      <c r="N432" s="13"/>
      <c r="O432" s="13"/>
      <c r="P432" s="13"/>
      <c r="Q432" s="31"/>
    </row>
    <row r="433" spans="1:17" ht="15" outlineLevel="2" x14ac:dyDescent="0.2">
      <c r="A433" s="30"/>
      <c r="B433" s="28"/>
      <c r="C433" s="30"/>
      <c r="D433" s="59" t="s">
        <v>534</v>
      </c>
      <c r="E433" s="57"/>
      <c r="F433" s="13"/>
      <c r="G433" s="13"/>
      <c r="H433" s="13"/>
      <c r="I433" s="59">
        <f>7.6+0.4+7.6+0.4</f>
        <v>16</v>
      </c>
      <c r="J433" s="14" t="s">
        <v>569</v>
      </c>
      <c r="K433" s="13"/>
      <c r="L433" s="13"/>
      <c r="M433" s="13"/>
      <c r="N433" s="13"/>
      <c r="O433" s="13"/>
      <c r="P433" s="13"/>
      <c r="Q433" s="31"/>
    </row>
    <row r="434" spans="1:17" ht="15" outlineLevel="2" x14ac:dyDescent="0.2">
      <c r="A434" s="30"/>
      <c r="B434" s="28"/>
      <c r="C434" s="30"/>
      <c r="D434" s="59" t="s">
        <v>535</v>
      </c>
      <c r="E434" s="57"/>
      <c r="F434" s="13"/>
      <c r="G434" s="13"/>
      <c r="H434" s="13"/>
      <c r="I434" s="59">
        <f>7.6+0.4+7.6+0.4</f>
        <v>16</v>
      </c>
      <c r="J434" s="14" t="s">
        <v>569</v>
      </c>
      <c r="K434" s="13"/>
      <c r="L434" s="13"/>
      <c r="M434" s="13"/>
      <c r="N434" s="13"/>
      <c r="O434" s="13"/>
      <c r="P434" s="13"/>
      <c r="Q434" s="31"/>
    </row>
    <row r="435" spans="1:17" ht="15" outlineLevel="2" x14ac:dyDescent="0.2">
      <c r="A435" s="30"/>
      <c r="B435" s="28"/>
      <c r="C435" s="30"/>
      <c r="D435" s="59" t="s">
        <v>536</v>
      </c>
      <c r="E435" s="57"/>
      <c r="F435" s="13"/>
      <c r="G435" s="13"/>
      <c r="H435" s="13"/>
      <c r="I435" s="59">
        <f>(0.12+0.5+0.12+0.5)+(0.12+0.5+0.12+0.5)</f>
        <v>2.48</v>
      </c>
      <c r="J435" s="14" t="s">
        <v>570</v>
      </c>
      <c r="K435" s="13"/>
      <c r="L435" s="13"/>
      <c r="M435" s="13"/>
      <c r="N435" s="13"/>
      <c r="O435" s="13"/>
      <c r="P435" s="13"/>
      <c r="Q435" s="31"/>
    </row>
    <row r="436" spans="1:17" ht="60" outlineLevel="2" x14ac:dyDescent="0.2">
      <c r="A436" s="30"/>
      <c r="B436" s="28"/>
      <c r="C436" s="30"/>
      <c r="D436" s="59" t="s">
        <v>537</v>
      </c>
      <c r="E436" s="57"/>
      <c r="F436" s="13"/>
      <c r="G436" s="13"/>
      <c r="H436" s="13"/>
      <c r="I436" s="59">
        <f>((0.12+0.37+4.87+1.13+1.42+0.64+0.08+0.16)-1.075)+((5.06+1.13+1.42+0.64+0.08+0.16)-1.075)+((5.06+1.13+1.42+0.64+0.08+0.16)-1.075)+((5.06+1.13+1.42+1.17+0.12)-1.075)</f>
        <v>30.37</v>
      </c>
      <c r="J436" s="14" t="s">
        <v>571</v>
      </c>
      <c r="K436" s="13"/>
      <c r="L436" s="13"/>
      <c r="M436" s="13"/>
      <c r="N436" s="13"/>
      <c r="O436" s="13"/>
      <c r="P436" s="13"/>
      <c r="Q436" s="31"/>
    </row>
    <row r="437" spans="1:17" ht="15.75" outlineLevel="2" x14ac:dyDescent="0.2">
      <c r="A437" s="30"/>
      <c r="B437" s="28"/>
      <c r="C437" s="30"/>
      <c r="D437" s="37" t="s">
        <v>538</v>
      </c>
      <c r="E437" s="57"/>
      <c r="F437" s="13"/>
      <c r="G437" s="13"/>
      <c r="H437" s="13"/>
      <c r="I437" s="59" t="s">
        <v>527</v>
      </c>
      <c r="J437" s="14" t="s">
        <v>527</v>
      </c>
      <c r="K437" s="13"/>
      <c r="L437" s="13"/>
      <c r="M437" s="13"/>
      <c r="N437" s="13"/>
      <c r="O437" s="13"/>
      <c r="P437" s="13"/>
      <c r="Q437" s="31"/>
    </row>
    <row r="438" spans="1:17" ht="15" outlineLevel="2" x14ac:dyDescent="0.2">
      <c r="A438" s="30"/>
      <c r="B438" s="28"/>
      <c r="C438" s="30"/>
      <c r="D438" s="59" t="s">
        <v>505</v>
      </c>
      <c r="E438" s="57"/>
      <c r="F438" s="13"/>
      <c r="G438" s="13"/>
      <c r="H438" s="13"/>
      <c r="I438" s="59">
        <f>(4.81+7.37+7.08+6.57+1.48+1.13+4.81)-1.075</f>
        <v>32.174999999999997</v>
      </c>
      <c r="J438" s="14" t="s">
        <v>567</v>
      </c>
      <c r="K438" s="13"/>
      <c r="L438" s="13"/>
      <c r="M438" s="13"/>
      <c r="N438" s="13"/>
      <c r="O438" s="13"/>
      <c r="P438" s="13"/>
      <c r="Q438" s="31"/>
    </row>
    <row r="439" spans="1:17" ht="15" outlineLevel="2" x14ac:dyDescent="0.2">
      <c r="A439" s="30"/>
      <c r="B439" s="28"/>
      <c r="C439" s="30"/>
      <c r="D439" s="59" t="s">
        <v>505</v>
      </c>
      <c r="E439" s="57"/>
      <c r="F439" s="13"/>
      <c r="G439" s="13"/>
      <c r="H439" s="13"/>
      <c r="I439" s="59">
        <f>(4.81+7.37+7.08+6.57+1.48+1.13+4.81)-1.075</f>
        <v>32.174999999999997</v>
      </c>
      <c r="J439" s="14" t="s">
        <v>567</v>
      </c>
      <c r="K439" s="13"/>
      <c r="L439" s="13"/>
      <c r="M439" s="13"/>
      <c r="N439" s="13"/>
      <c r="O439" s="13"/>
      <c r="P439" s="13"/>
      <c r="Q439" s="31"/>
    </row>
    <row r="440" spans="1:17" ht="15" outlineLevel="2" x14ac:dyDescent="0.2">
      <c r="A440" s="30"/>
      <c r="B440" s="28"/>
      <c r="C440" s="30"/>
      <c r="D440" s="59" t="s">
        <v>505</v>
      </c>
      <c r="E440" s="57"/>
      <c r="F440" s="13"/>
      <c r="G440" s="13"/>
      <c r="H440" s="13"/>
      <c r="I440" s="59">
        <f>(4.81+7.37+7.08+6.57+1.48+1.13+4.81)-1.075</f>
        <v>32.174999999999997</v>
      </c>
      <c r="J440" s="14" t="s">
        <v>567</v>
      </c>
      <c r="K440" s="13"/>
      <c r="L440" s="13"/>
      <c r="M440" s="13"/>
      <c r="N440" s="13"/>
      <c r="O440" s="13"/>
      <c r="P440" s="13"/>
      <c r="Q440" s="31"/>
    </row>
    <row r="441" spans="1:17" ht="15" outlineLevel="2" x14ac:dyDescent="0.2">
      <c r="A441" s="30"/>
      <c r="B441" s="28"/>
      <c r="C441" s="30"/>
      <c r="D441" s="59" t="s">
        <v>505</v>
      </c>
      <c r="E441" s="57"/>
      <c r="F441" s="13"/>
      <c r="G441" s="13"/>
      <c r="H441" s="13"/>
      <c r="I441" s="59">
        <f>(4.81+7.37+7.08+6.57+1.48+1.13+4.81)-1.075</f>
        <v>32.174999999999997</v>
      </c>
      <c r="J441" s="14" t="s">
        <v>567</v>
      </c>
      <c r="K441" s="13"/>
      <c r="L441" s="13"/>
      <c r="M441" s="13"/>
      <c r="N441" s="13"/>
      <c r="O441" s="13"/>
      <c r="P441" s="13"/>
      <c r="Q441" s="31"/>
    </row>
    <row r="442" spans="1:17" ht="15" outlineLevel="2" x14ac:dyDescent="0.2">
      <c r="A442" s="30"/>
      <c r="B442" s="28"/>
      <c r="C442" s="30"/>
      <c r="D442" s="59" t="s">
        <v>480</v>
      </c>
      <c r="E442" s="57"/>
      <c r="F442" s="13"/>
      <c r="G442" s="13"/>
      <c r="H442" s="13"/>
      <c r="I442" s="59" t="s">
        <v>528</v>
      </c>
      <c r="J442" s="14" t="s">
        <v>528</v>
      </c>
      <c r="K442" s="13"/>
      <c r="L442" s="13"/>
      <c r="M442" s="13"/>
      <c r="N442" s="13"/>
      <c r="O442" s="13"/>
      <c r="P442" s="13"/>
      <c r="Q442" s="31"/>
    </row>
    <row r="443" spans="1:17" ht="15" outlineLevel="2" x14ac:dyDescent="0.2">
      <c r="A443" s="30"/>
      <c r="B443" s="28"/>
      <c r="C443" s="30"/>
      <c r="D443" s="59" t="s">
        <v>539</v>
      </c>
      <c r="E443" s="57"/>
      <c r="F443" s="13"/>
      <c r="G443" s="13"/>
      <c r="H443" s="13"/>
      <c r="I443" s="59">
        <f>5.35+0.4+5.35+0.4</f>
        <v>11.5</v>
      </c>
      <c r="J443" s="14" t="s">
        <v>572</v>
      </c>
      <c r="K443" s="13"/>
      <c r="L443" s="13"/>
      <c r="M443" s="13"/>
      <c r="N443" s="13"/>
      <c r="O443" s="13"/>
      <c r="P443" s="13"/>
      <c r="Q443" s="31"/>
    </row>
    <row r="444" spans="1:17" ht="15" outlineLevel="2" x14ac:dyDescent="0.2">
      <c r="A444" s="30"/>
      <c r="B444" s="28"/>
      <c r="C444" s="30"/>
      <c r="D444" s="59" t="s">
        <v>540</v>
      </c>
      <c r="E444" s="57"/>
      <c r="F444" s="13"/>
      <c r="G444" s="13"/>
      <c r="H444" s="13"/>
      <c r="I444" s="59">
        <f>7.6+0.4+7.6+0.4</f>
        <v>16</v>
      </c>
      <c r="J444" s="14" t="s">
        <v>569</v>
      </c>
      <c r="K444" s="13"/>
      <c r="L444" s="13"/>
      <c r="M444" s="13"/>
      <c r="N444" s="13"/>
      <c r="O444" s="13"/>
      <c r="P444" s="13"/>
      <c r="Q444" s="31"/>
    </row>
    <row r="445" spans="1:17" ht="15" outlineLevel="2" x14ac:dyDescent="0.2">
      <c r="A445" s="30"/>
      <c r="B445" s="28"/>
      <c r="C445" s="30"/>
      <c r="D445" s="59" t="s">
        <v>541</v>
      </c>
      <c r="E445" s="57"/>
      <c r="F445" s="13"/>
      <c r="G445" s="13"/>
      <c r="H445" s="13"/>
      <c r="I445" s="59">
        <f>7.6+0.4+7.6+0.4</f>
        <v>16</v>
      </c>
      <c r="J445" s="14" t="s">
        <v>569</v>
      </c>
      <c r="K445" s="13"/>
      <c r="L445" s="13"/>
      <c r="M445" s="13"/>
      <c r="N445" s="13"/>
      <c r="O445" s="13"/>
      <c r="P445" s="13"/>
      <c r="Q445" s="31"/>
    </row>
    <row r="446" spans="1:17" ht="15" outlineLevel="2" x14ac:dyDescent="0.2">
      <c r="A446" s="30"/>
      <c r="B446" s="28"/>
      <c r="C446" s="30"/>
      <c r="D446" s="59" t="s">
        <v>542</v>
      </c>
      <c r="E446" s="57"/>
      <c r="F446" s="13"/>
      <c r="G446" s="13"/>
      <c r="H446" s="13"/>
      <c r="I446" s="59">
        <f>5.2+0.4+5.2+0.4</f>
        <v>11.200000000000001</v>
      </c>
      <c r="J446" s="14" t="s">
        <v>568</v>
      </c>
      <c r="K446" s="13"/>
      <c r="L446" s="13"/>
      <c r="M446" s="13"/>
      <c r="N446" s="13"/>
      <c r="O446" s="13"/>
      <c r="P446" s="13"/>
      <c r="Q446" s="31"/>
    </row>
    <row r="447" spans="1:17" ht="45" outlineLevel="2" x14ac:dyDescent="0.2">
      <c r="A447" s="30"/>
      <c r="B447" s="28"/>
      <c r="C447" s="30"/>
      <c r="D447" s="59" t="s">
        <v>537</v>
      </c>
      <c r="E447" s="57"/>
      <c r="F447" s="13"/>
      <c r="G447" s="13"/>
      <c r="H447" s="13"/>
      <c r="I447" s="59">
        <f>((0.8+1.42+1.13+5.06)-1.075)+((0.8+1.42+1.13+5.06)-1.075)+((0.8+1.42+1.13+5.06)-1.075)+((0.8+1.42+1.13+4.87+0.37+0.12)-1.075)</f>
        <v>29.639999999999997</v>
      </c>
      <c r="J447" s="14" t="s">
        <v>573</v>
      </c>
      <c r="K447" s="13"/>
      <c r="L447" s="13"/>
      <c r="M447" s="13"/>
      <c r="N447" s="13"/>
      <c r="O447" s="13"/>
      <c r="P447" s="13"/>
      <c r="Q447" s="31"/>
    </row>
    <row r="448" spans="1:17" ht="15" outlineLevel="2" x14ac:dyDescent="0.2">
      <c r="A448" s="30"/>
      <c r="B448" s="28"/>
      <c r="C448" s="30"/>
      <c r="D448" s="59" t="s">
        <v>543</v>
      </c>
      <c r="E448" s="57"/>
      <c r="F448" s="13"/>
      <c r="G448" s="13"/>
      <c r="H448" s="13"/>
      <c r="I448" s="59">
        <v>5.13</v>
      </c>
      <c r="J448" s="14">
        <v>5.13</v>
      </c>
      <c r="K448" s="13"/>
      <c r="L448" s="13"/>
      <c r="M448" s="13"/>
      <c r="N448" s="13"/>
      <c r="O448" s="13"/>
      <c r="P448" s="13"/>
      <c r="Q448" s="31"/>
    </row>
    <row r="449" spans="1:17" ht="15.75" outlineLevel="2" x14ac:dyDescent="0.2">
      <c r="A449" s="30"/>
      <c r="B449" s="28"/>
      <c r="C449" s="30"/>
      <c r="D449" s="37" t="s">
        <v>544</v>
      </c>
      <c r="E449" s="57"/>
      <c r="F449" s="13"/>
      <c r="G449" s="13"/>
      <c r="H449" s="13"/>
      <c r="I449" s="59" t="s">
        <v>527</v>
      </c>
      <c r="J449" s="14" t="s">
        <v>527</v>
      </c>
      <c r="K449" s="13"/>
      <c r="L449" s="13"/>
      <c r="M449" s="13"/>
      <c r="N449" s="13"/>
      <c r="O449" s="13"/>
      <c r="P449" s="13"/>
      <c r="Q449" s="31"/>
    </row>
    <row r="450" spans="1:17" ht="15" outlineLevel="2" x14ac:dyDescent="0.2">
      <c r="A450" s="30"/>
      <c r="B450" s="28"/>
      <c r="C450" s="30"/>
      <c r="D450" s="59" t="s">
        <v>505</v>
      </c>
      <c r="E450" s="57"/>
      <c r="F450" s="13"/>
      <c r="G450" s="13"/>
      <c r="H450" s="13"/>
      <c r="I450" s="59">
        <f>(4.81+7.37+7.08+6.57+1.48+1.13+4.81)-1.075</f>
        <v>32.174999999999997</v>
      </c>
      <c r="J450" s="14" t="s">
        <v>567</v>
      </c>
      <c r="K450" s="13"/>
      <c r="L450" s="13"/>
      <c r="M450" s="13"/>
      <c r="N450" s="13"/>
      <c r="O450" s="13"/>
      <c r="P450" s="13"/>
      <c r="Q450" s="31"/>
    </row>
    <row r="451" spans="1:17" ht="15" outlineLevel="2" x14ac:dyDescent="0.2">
      <c r="A451" s="30"/>
      <c r="B451" s="28"/>
      <c r="C451" s="30"/>
      <c r="D451" s="59" t="s">
        <v>505</v>
      </c>
      <c r="E451" s="57"/>
      <c r="F451" s="13"/>
      <c r="G451" s="13"/>
      <c r="H451" s="13"/>
      <c r="I451" s="59">
        <f>(4.81+7.37+7.08+6.57+1.48+1.13+4.81)-1.075</f>
        <v>32.174999999999997</v>
      </c>
      <c r="J451" s="14" t="s">
        <v>567</v>
      </c>
      <c r="K451" s="13"/>
      <c r="L451" s="13"/>
      <c r="M451" s="13"/>
      <c r="N451" s="13"/>
      <c r="O451" s="13"/>
      <c r="P451" s="13"/>
      <c r="Q451" s="31"/>
    </row>
    <row r="452" spans="1:17" ht="15" outlineLevel="2" x14ac:dyDescent="0.2">
      <c r="A452" s="30"/>
      <c r="B452" s="28"/>
      <c r="C452" s="30"/>
      <c r="D452" s="59" t="s">
        <v>505</v>
      </c>
      <c r="E452" s="57"/>
      <c r="F452" s="13"/>
      <c r="G452" s="13"/>
      <c r="H452" s="13"/>
      <c r="I452" s="59">
        <f>(4.81+7.37+7.08+6.57+1.48+1.13+4.81)-1.075</f>
        <v>32.174999999999997</v>
      </c>
      <c r="J452" s="14" t="s">
        <v>567</v>
      </c>
      <c r="K452" s="13"/>
      <c r="L452" s="13"/>
      <c r="M452" s="13"/>
      <c r="N452" s="13"/>
      <c r="O452" s="13"/>
      <c r="P452" s="13"/>
      <c r="Q452" s="31"/>
    </row>
    <row r="453" spans="1:17" ht="15" outlineLevel="2" x14ac:dyDescent="0.2">
      <c r="A453" s="30"/>
      <c r="B453" s="28"/>
      <c r="C453" s="30"/>
      <c r="D453" s="59" t="s">
        <v>505</v>
      </c>
      <c r="E453" s="57"/>
      <c r="F453" s="13"/>
      <c r="G453" s="13"/>
      <c r="H453" s="13"/>
      <c r="I453" s="59">
        <f>(4.81+7.37+7.08+6.57+1.48+1.13+4.81)-1.075</f>
        <v>32.174999999999997</v>
      </c>
      <c r="J453" s="14" t="s">
        <v>567</v>
      </c>
      <c r="K453" s="13"/>
      <c r="L453" s="13"/>
      <c r="M453" s="13"/>
      <c r="N453" s="13"/>
      <c r="O453" s="13"/>
      <c r="P453" s="13"/>
      <c r="Q453" s="31"/>
    </row>
    <row r="454" spans="1:17" ht="15" outlineLevel="2" x14ac:dyDescent="0.2">
      <c r="A454" s="30"/>
      <c r="B454" s="28"/>
      <c r="C454" s="30"/>
      <c r="D454" s="59" t="s">
        <v>480</v>
      </c>
      <c r="E454" s="57"/>
      <c r="F454" s="13"/>
      <c r="G454" s="13"/>
      <c r="H454" s="13"/>
      <c r="I454" s="59" t="s">
        <v>528</v>
      </c>
      <c r="J454" s="14" t="s">
        <v>528</v>
      </c>
      <c r="K454" s="13"/>
      <c r="L454" s="13"/>
      <c r="M454" s="13"/>
      <c r="N454" s="13"/>
      <c r="O454" s="13"/>
      <c r="P454" s="13"/>
      <c r="Q454" s="31"/>
    </row>
    <row r="455" spans="1:17" ht="15" outlineLevel="2" x14ac:dyDescent="0.2">
      <c r="A455" s="30"/>
      <c r="B455" s="28"/>
      <c r="C455" s="30"/>
      <c r="D455" s="59" t="s">
        <v>539</v>
      </c>
      <c r="E455" s="57"/>
      <c r="F455" s="13"/>
      <c r="G455" s="13"/>
      <c r="H455" s="13"/>
      <c r="I455" s="59">
        <f>5.35+0.4+5.35+0.4</f>
        <v>11.5</v>
      </c>
      <c r="J455" s="14" t="s">
        <v>572</v>
      </c>
      <c r="K455" s="13"/>
      <c r="L455" s="13"/>
      <c r="M455" s="13"/>
      <c r="N455" s="13"/>
      <c r="O455" s="13"/>
      <c r="P455" s="13"/>
      <c r="Q455" s="31"/>
    </row>
    <row r="456" spans="1:17" ht="15" outlineLevel="2" x14ac:dyDescent="0.2">
      <c r="A456" s="30"/>
      <c r="B456" s="28"/>
      <c r="C456" s="30"/>
      <c r="D456" s="59" t="s">
        <v>540</v>
      </c>
      <c r="E456" s="57"/>
      <c r="F456" s="13"/>
      <c r="G456" s="13"/>
      <c r="H456" s="13"/>
      <c r="I456" s="59">
        <f>7.6+0.4+7.6+0.4</f>
        <v>16</v>
      </c>
      <c r="J456" s="14" t="s">
        <v>569</v>
      </c>
      <c r="K456" s="13"/>
      <c r="L456" s="13"/>
      <c r="M456" s="13"/>
      <c r="N456" s="13"/>
      <c r="O456" s="13"/>
      <c r="P456" s="13"/>
      <c r="Q456" s="31"/>
    </row>
    <row r="457" spans="1:17" ht="15" outlineLevel="2" x14ac:dyDescent="0.2">
      <c r="A457" s="30"/>
      <c r="B457" s="28"/>
      <c r="C457" s="30"/>
      <c r="D457" s="59" t="s">
        <v>541</v>
      </c>
      <c r="E457" s="57"/>
      <c r="F457" s="13"/>
      <c r="G457" s="13"/>
      <c r="H457" s="13"/>
      <c r="I457" s="59">
        <f>7.6+0.4+7.6+0.4</f>
        <v>16</v>
      </c>
      <c r="J457" s="14" t="s">
        <v>569</v>
      </c>
      <c r="K457" s="13"/>
      <c r="L457" s="13"/>
      <c r="M457" s="13"/>
      <c r="N457" s="13"/>
      <c r="O457" s="13"/>
      <c r="P457" s="13"/>
      <c r="Q457" s="31"/>
    </row>
    <row r="458" spans="1:17" ht="15" outlineLevel="2" x14ac:dyDescent="0.2">
      <c r="A458" s="30"/>
      <c r="B458" s="28"/>
      <c r="C458" s="30"/>
      <c r="D458" s="59" t="s">
        <v>542</v>
      </c>
      <c r="E458" s="57"/>
      <c r="F458" s="13"/>
      <c r="G458" s="13"/>
      <c r="H458" s="13"/>
      <c r="I458" s="59">
        <f>5.2+0.4+5.2+0.4</f>
        <v>11.200000000000001</v>
      </c>
      <c r="J458" s="14" t="s">
        <v>568</v>
      </c>
      <c r="K458" s="13"/>
      <c r="L458" s="13"/>
      <c r="M458" s="13"/>
      <c r="N458" s="13"/>
      <c r="O458" s="13"/>
      <c r="P458" s="13"/>
      <c r="Q458" s="31"/>
    </row>
    <row r="459" spans="1:17" ht="45" outlineLevel="2" x14ac:dyDescent="0.2">
      <c r="A459" s="30"/>
      <c r="B459" s="28"/>
      <c r="C459" s="30"/>
      <c r="D459" s="59" t="s">
        <v>537</v>
      </c>
      <c r="E459" s="57"/>
      <c r="F459" s="13"/>
      <c r="G459" s="13"/>
      <c r="H459" s="13"/>
      <c r="I459" s="59">
        <f>((0.8+1.42+1.13+5.06)-1.075)+((0.8+1.42+1.13+5.06)-1.075)+((0.8+1.42+1.13+5.06)-1.075)+((0.8+1.42+1.13+4.87+0.37+0.12)-1.075)</f>
        <v>29.639999999999997</v>
      </c>
      <c r="J459" s="14" t="s">
        <v>573</v>
      </c>
      <c r="K459" s="13"/>
      <c r="L459" s="13"/>
      <c r="M459" s="13"/>
      <c r="N459" s="13"/>
      <c r="O459" s="13"/>
      <c r="P459" s="13"/>
      <c r="Q459" s="31"/>
    </row>
    <row r="460" spans="1:17" ht="15" outlineLevel="2" x14ac:dyDescent="0.2">
      <c r="A460" s="30"/>
      <c r="B460" s="28"/>
      <c r="C460" s="30"/>
      <c r="D460" s="59" t="s">
        <v>543</v>
      </c>
      <c r="E460" s="57"/>
      <c r="F460" s="13"/>
      <c r="G460" s="13"/>
      <c r="H460" s="13"/>
      <c r="I460" s="59">
        <v>5.13</v>
      </c>
      <c r="J460" s="14">
        <v>5.13</v>
      </c>
      <c r="K460" s="13"/>
      <c r="L460" s="13"/>
      <c r="M460" s="13"/>
      <c r="N460" s="13"/>
      <c r="O460" s="13"/>
      <c r="P460" s="13"/>
      <c r="Q460" s="31"/>
    </row>
    <row r="461" spans="1:17" ht="15" outlineLevel="2" x14ac:dyDescent="0.2">
      <c r="A461" s="30"/>
      <c r="B461" s="28"/>
      <c r="C461" s="30"/>
      <c r="D461" s="59"/>
      <c r="E461" s="57"/>
      <c r="F461" s="13"/>
      <c r="G461" s="13"/>
      <c r="H461" s="13"/>
      <c r="I461" s="57"/>
      <c r="J461" s="13"/>
      <c r="K461" s="13"/>
      <c r="L461" s="13"/>
      <c r="M461" s="13"/>
      <c r="N461" s="13"/>
      <c r="O461" s="13"/>
      <c r="P461" s="13"/>
      <c r="Q461" s="31"/>
    </row>
    <row r="462" spans="1:17" ht="60" outlineLevel="2" x14ac:dyDescent="0.2">
      <c r="A462" s="30">
        <v>80115</v>
      </c>
      <c r="B462" s="28"/>
      <c r="C462" s="30">
        <v>925324</v>
      </c>
      <c r="D462" s="59" t="s">
        <v>133</v>
      </c>
      <c r="E462" s="57" t="s">
        <v>10</v>
      </c>
      <c r="F462" s="13"/>
      <c r="G462" s="13">
        <v>0</v>
      </c>
      <c r="H462" s="13">
        <v>0</v>
      </c>
      <c r="I462" s="57">
        <v>0</v>
      </c>
      <c r="J462" s="13"/>
      <c r="K462" s="13">
        <v>1421.89</v>
      </c>
      <c r="L462" s="13">
        <v>13.95</v>
      </c>
      <c r="M462" s="13">
        <v>19835.36</v>
      </c>
      <c r="N462" s="13">
        <v>0</v>
      </c>
      <c r="O462" s="13">
        <v>0</v>
      </c>
      <c r="P462" s="13">
        <v>0</v>
      </c>
      <c r="Q462" s="31">
        <f t="shared" ref="Q462:Q482" si="3">PRODUCT(K462,L462)</f>
        <v>19835.3655</v>
      </c>
    </row>
    <row r="463" spans="1:17" ht="45" outlineLevel="2" x14ac:dyDescent="0.2">
      <c r="A463" s="30">
        <v>80116</v>
      </c>
      <c r="B463" s="28"/>
      <c r="C463" s="30">
        <v>920848</v>
      </c>
      <c r="D463" s="59" t="s">
        <v>134</v>
      </c>
      <c r="E463" s="57" t="s">
        <v>10</v>
      </c>
      <c r="F463" s="13"/>
      <c r="G463" s="13">
        <v>0</v>
      </c>
      <c r="H463" s="13">
        <v>0</v>
      </c>
      <c r="I463" s="57">
        <v>0</v>
      </c>
      <c r="J463" s="13"/>
      <c r="K463" s="13">
        <v>1421.89</v>
      </c>
      <c r="L463" s="13">
        <v>2.72</v>
      </c>
      <c r="M463" s="13">
        <v>3867.54</v>
      </c>
      <c r="N463" s="13">
        <v>0</v>
      </c>
      <c r="O463" s="13">
        <v>0</v>
      </c>
      <c r="P463" s="13">
        <v>0</v>
      </c>
      <c r="Q463" s="31">
        <f t="shared" si="3"/>
        <v>3867.5408000000007</v>
      </c>
    </row>
    <row r="464" spans="1:17" ht="60" outlineLevel="2" x14ac:dyDescent="0.2">
      <c r="A464" s="30">
        <v>80117</v>
      </c>
      <c r="B464" s="28"/>
      <c r="C464" s="30">
        <v>950611</v>
      </c>
      <c r="D464" s="59" t="s">
        <v>135</v>
      </c>
      <c r="E464" s="57" t="s">
        <v>10</v>
      </c>
      <c r="F464" s="13"/>
      <c r="G464" s="13">
        <v>0</v>
      </c>
      <c r="H464" s="13">
        <v>0</v>
      </c>
      <c r="I464" s="57">
        <v>0</v>
      </c>
      <c r="J464" s="13"/>
      <c r="K464" s="13">
        <v>1421.89</v>
      </c>
      <c r="L464" s="13">
        <v>9.2100000000000009</v>
      </c>
      <c r="M464" s="13">
        <v>13095.6</v>
      </c>
      <c r="N464" s="13">
        <v>0</v>
      </c>
      <c r="O464" s="13">
        <v>0</v>
      </c>
      <c r="P464" s="13">
        <v>0</v>
      </c>
      <c r="Q464" s="31">
        <f t="shared" si="3"/>
        <v>13095.606900000002</v>
      </c>
    </row>
    <row r="465" spans="1:17" ht="60" outlineLevel="2" x14ac:dyDescent="0.2">
      <c r="A465" s="30">
        <v>80118</v>
      </c>
      <c r="B465" s="28"/>
      <c r="C465" s="30">
        <v>925325</v>
      </c>
      <c r="D465" s="59" t="s">
        <v>136</v>
      </c>
      <c r="E465" s="57" t="s">
        <v>15</v>
      </c>
      <c r="F465" s="13"/>
      <c r="G465" s="13">
        <v>0</v>
      </c>
      <c r="H465" s="13">
        <v>0</v>
      </c>
      <c r="I465" s="57">
        <v>0</v>
      </c>
      <c r="J465" s="13"/>
      <c r="K465" s="13">
        <v>257.75</v>
      </c>
      <c r="L465" s="13">
        <v>50.76</v>
      </c>
      <c r="M465" s="13">
        <v>13083.39</v>
      </c>
      <c r="N465" s="13">
        <v>0</v>
      </c>
      <c r="O465" s="13">
        <v>0</v>
      </c>
      <c r="P465" s="13">
        <v>0</v>
      </c>
      <c r="Q465" s="31">
        <f t="shared" si="3"/>
        <v>13083.39</v>
      </c>
    </row>
    <row r="466" spans="1:17" ht="15" x14ac:dyDescent="0.2">
      <c r="A466" s="28"/>
      <c r="B466" s="28"/>
      <c r="C466" s="28"/>
      <c r="D466" s="60"/>
      <c r="E466" s="67"/>
      <c r="F466" s="28"/>
      <c r="G466" s="28"/>
      <c r="H466" s="28"/>
      <c r="I466" s="67"/>
      <c r="J466" s="28"/>
      <c r="K466" s="28"/>
      <c r="L466" s="28"/>
      <c r="M466" s="28"/>
      <c r="N466" s="28"/>
      <c r="O466" s="28"/>
      <c r="P466" s="28"/>
      <c r="Q466" s="31">
        <f t="shared" si="3"/>
        <v>0</v>
      </c>
    </row>
    <row r="467" spans="1:17" ht="15" x14ac:dyDescent="0.2">
      <c r="A467" s="28"/>
      <c r="B467" s="28"/>
      <c r="C467" s="28"/>
      <c r="D467" s="60"/>
      <c r="E467" s="67"/>
      <c r="F467" s="28"/>
      <c r="G467" s="28"/>
      <c r="H467" s="28"/>
      <c r="I467" s="67"/>
      <c r="J467" s="28"/>
      <c r="K467" s="28"/>
      <c r="L467" s="28"/>
      <c r="M467" s="28"/>
      <c r="N467" s="28"/>
      <c r="O467" s="28"/>
      <c r="P467" s="28"/>
      <c r="Q467" s="31">
        <f t="shared" si="3"/>
        <v>0</v>
      </c>
    </row>
    <row r="468" spans="1:17" ht="31.5" outlineLevel="2" x14ac:dyDescent="0.2">
      <c r="A468" s="30">
        <v>90100</v>
      </c>
      <c r="B468" s="28"/>
      <c r="C468" s="30">
        <v>925326</v>
      </c>
      <c r="D468" s="37" t="s">
        <v>137</v>
      </c>
      <c r="E468" s="67"/>
      <c r="F468" s="13" t="s">
        <v>9</v>
      </c>
      <c r="G468" s="13">
        <v>0</v>
      </c>
      <c r="H468" s="13">
        <v>0</v>
      </c>
      <c r="I468" s="57">
        <v>0</v>
      </c>
      <c r="J468" s="13"/>
      <c r="K468" s="13">
        <v>0</v>
      </c>
      <c r="L468" s="13" t="s">
        <v>9</v>
      </c>
      <c r="M468" s="13" t="s">
        <v>9</v>
      </c>
      <c r="N468" s="13">
        <v>0</v>
      </c>
      <c r="O468" s="13">
        <v>0</v>
      </c>
      <c r="P468" s="13">
        <v>0</v>
      </c>
      <c r="Q468" s="31">
        <f t="shared" si="3"/>
        <v>0</v>
      </c>
    </row>
    <row r="469" spans="1:17" ht="120" outlineLevel="2" x14ac:dyDescent="0.2">
      <c r="A469" s="30">
        <v>90101</v>
      </c>
      <c r="B469" s="28"/>
      <c r="C469" s="30">
        <v>924744</v>
      </c>
      <c r="D469" s="59" t="s">
        <v>138</v>
      </c>
      <c r="E469" s="57" t="s">
        <v>10</v>
      </c>
      <c r="F469" s="13">
        <v>1475.93</v>
      </c>
      <c r="G469" s="13">
        <v>0</v>
      </c>
      <c r="H469" s="13">
        <v>1475.93</v>
      </c>
      <c r="I469" s="57">
        <v>1475.93</v>
      </c>
      <c r="J469" s="13"/>
      <c r="K469" s="13">
        <v>0</v>
      </c>
      <c r="L469" s="13">
        <v>5.78</v>
      </c>
      <c r="M469" s="13">
        <v>8530.8700000000008</v>
      </c>
      <c r="N469" s="13">
        <v>0</v>
      </c>
      <c r="O469" s="13">
        <v>8530.8700000000008</v>
      </c>
      <c r="P469" s="13">
        <v>8530.8700000000008</v>
      </c>
      <c r="Q469" s="31">
        <f t="shared" si="3"/>
        <v>0</v>
      </c>
    </row>
    <row r="470" spans="1:17" ht="135" outlineLevel="2" x14ac:dyDescent="0.2">
      <c r="A470" s="30">
        <v>90102</v>
      </c>
      <c r="B470" s="28"/>
      <c r="C470" s="30">
        <v>925327</v>
      </c>
      <c r="D470" s="59" t="s">
        <v>139</v>
      </c>
      <c r="E470" s="57" t="s">
        <v>10</v>
      </c>
      <c r="F470" s="13">
        <v>1475.93</v>
      </c>
      <c r="G470" s="13">
        <v>548.30999999999995</v>
      </c>
      <c r="H470" s="13">
        <v>927.62</v>
      </c>
      <c r="I470" s="57">
        <v>1475.93</v>
      </c>
      <c r="J470" s="13"/>
      <c r="K470" s="13">
        <v>0</v>
      </c>
      <c r="L470" s="13">
        <v>52.44</v>
      </c>
      <c r="M470" s="13">
        <v>77397.759999999995</v>
      </c>
      <c r="N470" s="13">
        <v>28753.38</v>
      </c>
      <c r="O470" s="13">
        <v>48644.38</v>
      </c>
      <c r="P470" s="13">
        <v>77397.759999999995</v>
      </c>
      <c r="Q470" s="31">
        <f t="shared" si="3"/>
        <v>0</v>
      </c>
    </row>
    <row r="471" spans="1:17" ht="45" outlineLevel="2" x14ac:dyDescent="0.2">
      <c r="A471" s="30">
        <v>90103</v>
      </c>
      <c r="B471" s="28"/>
      <c r="C471" s="30">
        <v>921974</v>
      </c>
      <c r="D471" s="59" t="s">
        <v>127</v>
      </c>
      <c r="E471" s="57" t="s">
        <v>10</v>
      </c>
      <c r="F471" s="13">
        <v>1475.93</v>
      </c>
      <c r="G471" s="13">
        <v>0</v>
      </c>
      <c r="H471" s="13">
        <v>0</v>
      </c>
      <c r="I471" s="57">
        <v>0</v>
      </c>
      <c r="J471" s="13"/>
      <c r="K471" s="13">
        <v>1475.93</v>
      </c>
      <c r="L471" s="13">
        <v>1.85</v>
      </c>
      <c r="M471" s="13">
        <v>2730.47</v>
      </c>
      <c r="N471" s="13">
        <v>0</v>
      </c>
      <c r="O471" s="13">
        <v>0</v>
      </c>
      <c r="P471" s="13">
        <v>0</v>
      </c>
      <c r="Q471" s="31">
        <f t="shared" si="3"/>
        <v>2730.4705000000004</v>
      </c>
    </row>
    <row r="472" spans="1:17" ht="75" outlineLevel="2" x14ac:dyDescent="0.2">
      <c r="A472" s="30">
        <v>90104</v>
      </c>
      <c r="B472" s="28"/>
      <c r="C472" s="30">
        <v>922117</v>
      </c>
      <c r="D472" s="59" t="s">
        <v>128</v>
      </c>
      <c r="E472" s="57" t="s">
        <v>10</v>
      </c>
      <c r="F472" s="13">
        <v>1475.93</v>
      </c>
      <c r="G472" s="13">
        <v>0</v>
      </c>
      <c r="H472" s="13">
        <v>0</v>
      </c>
      <c r="I472" s="57">
        <v>0</v>
      </c>
      <c r="J472" s="13"/>
      <c r="K472" s="13">
        <v>1475.93</v>
      </c>
      <c r="L472" s="13">
        <v>10.46</v>
      </c>
      <c r="M472" s="13">
        <v>15438.22</v>
      </c>
      <c r="N472" s="13">
        <v>0</v>
      </c>
      <c r="O472" s="13">
        <v>0</v>
      </c>
      <c r="P472" s="13">
        <v>0</v>
      </c>
      <c r="Q472" s="31">
        <f t="shared" si="3"/>
        <v>15438.227800000002</v>
      </c>
    </row>
    <row r="473" spans="1:17" ht="75" outlineLevel="2" x14ac:dyDescent="0.2">
      <c r="A473" s="30">
        <v>90105</v>
      </c>
      <c r="B473" s="28"/>
      <c r="C473" s="30">
        <v>925328</v>
      </c>
      <c r="D473" s="59" t="s">
        <v>140</v>
      </c>
      <c r="E473" s="57" t="s">
        <v>15</v>
      </c>
      <c r="F473" s="13">
        <v>150.28</v>
      </c>
      <c r="G473" s="13">
        <v>0</v>
      </c>
      <c r="H473" s="13">
        <v>0</v>
      </c>
      <c r="I473" s="57">
        <v>0</v>
      </c>
      <c r="J473" s="13"/>
      <c r="K473" s="13">
        <v>150.28</v>
      </c>
      <c r="L473" s="13">
        <v>10.96</v>
      </c>
      <c r="M473" s="13">
        <v>1647.06</v>
      </c>
      <c r="N473" s="13">
        <v>0</v>
      </c>
      <c r="O473" s="13">
        <v>0</v>
      </c>
      <c r="P473" s="13">
        <v>0</v>
      </c>
      <c r="Q473" s="31">
        <f t="shared" si="3"/>
        <v>1647.0688000000002</v>
      </c>
    </row>
    <row r="474" spans="1:17" ht="45" outlineLevel="2" x14ac:dyDescent="0.2">
      <c r="A474" s="30">
        <v>90106</v>
      </c>
      <c r="B474" s="28"/>
      <c r="C474" s="30">
        <v>925329</v>
      </c>
      <c r="D474" s="59" t="s">
        <v>141</v>
      </c>
      <c r="E474" s="57" t="s">
        <v>15</v>
      </c>
      <c r="F474" s="13">
        <v>88.2</v>
      </c>
      <c r="G474" s="13">
        <v>0</v>
      </c>
      <c r="H474" s="13">
        <v>0</v>
      </c>
      <c r="I474" s="57">
        <v>0</v>
      </c>
      <c r="J474" s="13"/>
      <c r="K474" s="13">
        <v>88.2</v>
      </c>
      <c r="L474" s="13">
        <v>258.16000000000003</v>
      </c>
      <c r="M474" s="13">
        <v>22769.71</v>
      </c>
      <c r="N474" s="13">
        <v>0</v>
      </c>
      <c r="O474" s="13">
        <v>0</v>
      </c>
      <c r="P474" s="13">
        <v>0</v>
      </c>
      <c r="Q474" s="31">
        <f t="shared" si="3"/>
        <v>22769.712000000003</v>
      </c>
    </row>
    <row r="475" spans="1:17" ht="75" outlineLevel="2" x14ac:dyDescent="0.2">
      <c r="A475" s="30">
        <v>90107</v>
      </c>
      <c r="B475" s="28"/>
      <c r="C475" s="30">
        <v>920909</v>
      </c>
      <c r="D475" s="59" t="s">
        <v>142</v>
      </c>
      <c r="E475" s="57" t="s">
        <v>10</v>
      </c>
      <c r="F475" s="13">
        <v>521.12</v>
      </c>
      <c r="G475" s="13">
        <v>129.11000000000001</v>
      </c>
      <c r="H475" s="13">
        <v>312.75</v>
      </c>
      <c r="I475" s="57">
        <v>441.86</v>
      </c>
      <c r="J475" s="13"/>
      <c r="K475" s="13">
        <v>79.260000000000005</v>
      </c>
      <c r="L475" s="13">
        <v>44.94</v>
      </c>
      <c r="M475" s="13">
        <v>23419.13</v>
      </c>
      <c r="N475" s="13">
        <v>5802.2</v>
      </c>
      <c r="O475" s="13">
        <v>14054.98</v>
      </c>
      <c r="P475" s="13">
        <v>19857.18</v>
      </c>
      <c r="Q475" s="31">
        <f t="shared" si="3"/>
        <v>3561.9443999999999</v>
      </c>
    </row>
    <row r="476" spans="1:17" ht="75" outlineLevel="2" x14ac:dyDescent="0.2">
      <c r="A476" s="30">
        <v>90108</v>
      </c>
      <c r="B476" s="28"/>
      <c r="C476" s="30">
        <v>924572</v>
      </c>
      <c r="D476" s="59" t="s">
        <v>123</v>
      </c>
      <c r="E476" s="57" t="s">
        <v>10</v>
      </c>
      <c r="F476" s="13" t="s">
        <v>9</v>
      </c>
      <c r="G476" s="13">
        <v>0</v>
      </c>
      <c r="H476" s="13">
        <v>0</v>
      </c>
      <c r="I476" s="57">
        <v>0</v>
      </c>
      <c r="J476" s="13"/>
      <c r="K476" s="13">
        <v>0</v>
      </c>
      <c r="L476" s="13">
        <v>108.28</v>
      </c>
      <c r="M476" s="13" t="s">
        <v>9</v>
      </c>
      <c r="N476" s="13">
        <v>0</v>
      </c>
      <c r="O476" s="13">
        <v>0</v>
      </c>
      <c r="P476" s="13">
        <v>0</v>
      </c>
      <c r="Q476" s="31">
        <f t="shared" si="3"/>
        <v>0</v>
      </c>
    </row>
    <row r="477" spans="1:17" ht="75" outlineLevel="2" x14ac:dyDescent="0.2">
      <c r="A477" s="30">
        <v>90109</v>
      </c>
      <c r="B477" s="28"/>
      <c r="C477" s="30">
        <v>925330</v>
      </c>
      <c r="D477" s="59" t="s">
        <v>143</v>
      </c>
      <c r="E477" s="57" t="s">
        <v>10</v>
      </c>
      <c r="F477" s="13">
        <v>10.74</v>
      </c>
      <c r="G477" s="13">
        <v>0</v>
      </c>
      <c r="H477" s="13">
        <v>0</v>
      </c>
      <c r="I477" s="57">
        <v>0</v>
      </c>
      <c r="J477" s="13"/>
      <c r="K477" s="74">
        <v>10.74</v>
      </c>
      <c r="L477" s="13">
        <v>11.62</v>
      </c>
      <c r="M477" s="13">
        <v>124.79</v>
      </c>
      <c r="N477" s="13">
        <v>0</v>
      </c>
      <c r="O477" s="13">
        <v>0</v>
      </c>
      <c r="P477" s="13">
        <v>0</v>
      </c>
      <c r="Q477" s="31">
        <f t="shared" si="3"/>
        <v>124.7988</v>
      </c>
    </row>
    <row r="478" spans="1:17" ht="15" outlineLevel="2" x14ac:dyDescent="0.2">
      <c r="A478" s="30"/>
      <c r="B478" s="28"/>
      <c r="C478" s="30"/>
      <c r="D478" s="59"/>
      <c r="E478" s="57"/>
      <c r="F478" s="13"/>
      <c r="G478" s="13"/>
      <c r="H478" s="13"/>
      <c r="I478" s="57"/>
      <c r="J478" s="13"/>
      <c r="K478" s="13"/>
      <c r="L478" s="13"/>
      <c r="M478" s="13"/>
      <c r="N478" s="13"/>
      <c r="O478" s="13"/>
      <c r="P478" s="13"/>
      <c r="Q478" s="31"/>
    </row>
    <row r="479" spans="1:17" ht="105" outlineLevel="2" x14ac:dyDescent="0.2">
      <c r="A479" s="30">
        <v>90111</v>
      </c>
      <c r="B479" s="28"/>
      <c r="C479" s="30">
        <v>925332</v>
      </c>
      <c r="D479" s="37" t="s">
        <v>725</v>
      </c>
      <c r="E479" s="57"/>
      <c r="F479" s="13"/>
      <c r="G479" s="13">
        <v>0</v>
      </c>
      <c r="H479" s="13">
        <v>0</v>
      </c>
      <c r="I479" s="57"/>
      <c r="J479" s="14" t="s">
        <v>726</v>
      </c>
      <c r="K479" s="13">
        <v>1</v>
      </c>
      <c r="L479" s="13">
        <v>2605.4</v>
      </c>
      <c r="M479" s="13">
        <v>2605.4</v>
      </c>
      <c r="N479" s="13">
        <v>0</v>
      </c>
      <c r="O479" s="13">
        <v>0</v>
      </c>
      <c r="P479" s="13">
        <v>0</v>
      </c>
      <c r="Q479" s="31">
        <f t="shared" si="3"/>
        <v>2605.4</v>
      </c>
    </row>
    <row r="480" spans="1:17" ht="15" outlineLevel="2" x14ac:dyDescent="0.2">
      <c r="A480" s="30"/>
      <c r="B480" s="28"/>
      <c r="C480" s="30"/>
      <c r="D480" s="59"/>
      <c r="E480" s="57"/>
      <c r="F480" s="13"/>
      <c r="G480" s="13"/>
      <c r="H480" s="13"/>
      <c r="I480" s="57"/>
      <c r="J480" s="14"/>
      <c r="K480" s="13"/>
      <c r="L480" s="13"/>
      <c r="M480" s="13"/>
      <c r="N480" s="13"/>
      <c r="O480" s="13"/>
      <c r="P480" s="13"/>
      <c r="Q480" s="31"/>
    </row>
    <row r="481" spans="1:17" ht="15" outlineLevel="2" x14ac:dyDescent="0.2">
      <c r="A481" s="30"/>
      <c r="B481" s="28"/>
      <c r="C481" s="30"/>
      <c r="D481" s="59"/>
      <c r="E481" s="57"/>
      <c r="F481" s="13"/>
      <c r="G481" s="13"/>
      <c r="H481" s="13"/>
      <c r="I481" s="57"/>
      <c r="J481" s="13"/>
      <c r="K481" s="13"/>
      <c r="L481" s="13"/>
      <c r="M481" s="13"/>
      <c r="N481" s="13"/>
      <c r="O481" s="13"/>
      <c r="P481" s="13"/>
      <c r="Q481" s="31"/>
    </row>
    <row r="482" spans="1:17" ht="110.25" outlineLevel="2" x14ac:dyDescent="0.2">
      <c r="A482" s="30">
        <v>90112</v>
      </c>
      <c r="B482" s="28"/>
      <c r="C482" s="30">
        <v>925333</v>
      </c>
      <c r="D482" s="37" t="s">
        <v>146</v>
      </c>
      <c r="E482" s="57" t="s">
        <v>697</v>
      </c>
      <c r="F482" s="13"/>
      <c r="G482" s="13">
        <v>0</v>
      </c>
      <c r="H482" s="13">
        <v>0</v>
      </c>
      <c r="I482" s="57">
        <f>SUM(I483:I487)</f>
        <v>1280</v>
      </c>
      <c r="J482" s="13">
        <f>0.6*2*2.28*40</f>
        <v>109.44</v>
      </c>
      <c r="K482" s="79"/>
      <c r="L482" s="13">
        <v>299.47000000000003</v>
      </c>
      <c r="M482" s="13">
        <v>47522.89</v>
      </c>
      <c r="N482" s="13">
        <v>0</v>
      </c>
      <c r="O482" s="13">
        <v>0</v>
      </c>
      <c r="P482" s="13">
        <v>0</v>
      </c>
      <c r="Q482" s="31">
        <f t="shared" si="3"/>
        <v>299.47000000000003</v>
      </c>
    </row>
    <row r="483" spans="1:17" ht="30" outlineLevel="2" x14ac:dyDescent="0.2">
      <c r="A483" s="30"/>
      <c r="B483" s="28"/>
      <c r="C483" s="30"/>
      <c r="D483" s="59" t="s">
        <v>404</v>
      </c>
      <c r="E483" s="57"/>
      <c r="F483" s="13"/>
      <c r="G483" s="13"/>
      <c r="H483" s="13"/>
      <c r="I483" s="57">
        <f>8*32</f>
        <v>256</v>
      </c>
      <c r="J483" s="14" t="s">
        <v>523</v>
      </c>
      <c r="K483" s="80"/>
      <c r="L483" s="13"/>
      <c r="M483" s="13"/>
      <c r="N483" s="13"/>
      <c r="O483" s="13"/>
      <c r="P483" s="13"/>
      <c r="Q483" s="31"/>
    </row>
    <row r="484" spans="1:17" ht="30" outlineLevel="2" x14ac:dyDescent="0.2">
      <c r="A484" s="30"/>
      <c r="B484" s="28"/>
      <c r="C484" s="30"/>
      <c r="D484" s="59" t="s">
        <v>405</v>
      </c>
      <c r="E484" s="57"/>
      <c r="F484" s="13"/>
      <c r="G484" s="13"/>
      <c r="H484" s="13"/>
      <c r="I484" s="57">
        <f>8*32</f>
        <v>256</v>
      </c>
      <c r="J484" s="14" t="s">
        <v>524</v>
      </c>
      <c r="K484" s="80"/>
      <c r="L484" s="13"/>
      <c r="M484" s="13"/>
      <c r="N484" s="13"/>
      <c r="O484" s="13"/>
      <c r="P484" s="13"/>
      <c r="Q484" s="31"/>
    </row>
    <row r="485" spans="1:17" ht="30" outlineLevel="2" x14ac:dyDescent="0.2">
      <c r="A485" s="30"/>
      <c r="B485" s="28"/>
      <c r="C485" s="30"/>
      <c r="D485" s="59" t="s">
        <v>465</v>
      </c>
      <c r="E485" s="57"/>
      <c r="F485" s="13"/>
      <c r="G485" s="13"/>
      <c r="H485" s="13"/>
      <c r="I485" s="59">
        <f>8*32</f>
        <v>256</v>
      </c>
      <c r="J485" s="14" t="s">
        <v>525</v>
      </c>
      <c r="K485" s="80"/>
      <c r="L485" s="13"/>
      <c r="M485" s="13"/>
      <c r="N485" s="13"/>
      <c r="O485" s="13"/>
      <c r="P485" s="13"/>
      <c r="Q485" s="31"/>
    </row>
    <row r="486" spans="1:17" ht="30" outlineLevel="2" x14ac:dyDescent="0.2">
      <c r="A486" s="30"/>
      <c r="B486" s="28"/>
      <c r="C486" s="30"/>
      <c r="D486" s="59" t="s">
        <v>451</v>
      </c>
      <c r="E486" s="57"/>
      <c r="F486" s="13"/>
      <c r="G486" s="13"/>
      <c r="H486" s="13"/>
      <c r="I486" s="59">
        <f>8*32</f>
        <v>256</v>
      </c>
      <c r="J486" s="14" t="s">
        <v>525</v>
      </c>
      <c r="K486" s="80"/>
      <c r="L486" s="13"/>
      <c r="M486" s="13"/>
      <c r="N486" s="13"/>
      <c r="O486" s="13"/>
      <c r="P486" s="13"/>
      <c r="Q486" s="31"/>
    </row>
    <row r="487" spans="1:17" ht="30" outlineLevel="2" x14ac:dyDescent="0.2">
      <c r="A487" s="30"/>
      <c r="B487" s="28"/>
      <c r="C487" s="30"/>
      <c r="D487" s="59" t="s">
        <v>408</v>
      </c>
      <c r="E487" s="57"/>
      <c r="F487" s="13"/>
      <c r="G487" s="13"/>
      <c r="H487" s="13"/>
      <c r="I487" s="57">
        <f>8*32</f>
        <v>256</v>
      </c>
      <c r="J487" s="14" t="s">
        <v>525</v>
      </c>
      <c r="K487" s="81"/>
      <c r="L487" s="13"/>
      <c r="M487" s="13"/>
      <c r="N487" s="13"/>
      <c r="O487" s="13"/>
      <c r="P487" s="13"/>
      <c r="Q487" s="31"/>
    </row>
    <row r="488" spans="1:17" ht="141.75" outlineLevel="2" x14ac:dyDescent="0.25">
      <c r="A488" s="30">
        <v>90113</v>
      </c>
      <c r="B488" s="28"/>
      <c r="C488" s="30">
        <v>925334</v>
      </c>
      <c r="D488" s="37" t="s">
        <v>147</v>
      </c>
      <c r="E488" s="57" t="s">
        <v>20</v>
      </c>
      <c r="F488" s="13"/>
      <c r="G488" s="13">
        <v>0</v>
      </c>
      <c r="H488" s="13">
        <v>0</v>
      </c>
      <c r="I488" s="57"/>
      <c r="J488" s="13" t="s">
        <v>698</v>
      </c>
      <c r="K488" s="27" t="s">
        <v>699</v>
      </c>
      <c r="L488" s="13">
        <v>27691.46</v>
      </c>
      <c r="M488" s="13">
        <v>27691.46</v>
      </c>
      <c r="N488" s="13">
        <v>0</v>
      </c>
      <c r="O488" s="13">
        <v>0</v>
      </c>
      <c r="P488" s="13">
        <v>0</v>
      </c>
      <c r="Q488" s="31">
        <f t="shared" ref="Q488:Q499" si="4">PRODUCT(K488,L488)</f>
        <v>27691.46</v>
      </c>
    </row>
    <row r="489" spans="1:17" ht="15.75" outlineLevel="2" x14ac:dyDescent="0.25">
      <c r="A489" s="30">
        <v>90114</v>
      </c>
      <c r="B489" s="28"/>
      <c r="C489" s="30">
        <v>925335</v>
      </c>
      <c r="D489" s="59"/>
      <c r="E489" s="57"/>
      <c r="F489" s="13"/>
      <c r="G489" s="13">
        <v>0</v>
      </c>
      <c r="H489" s="13">
        <v>0</v>
      </c>
      <c r="I489" s="57"/>
      <c r="J489" s="13"/>
      <c r="K489" s="35"/>
      <c r="L489" s="13">
        <v>46.91</v>
      </c>
      <c r="M489" s="13">
        <v>80103.039999999994</v>
      </c>
      <c r="N489" s="13">
        <v>0</v>
      </c>
      <c r="O489" s="13">
        <v>0</v>
      </c>
      <c r="P489" s="13">
        <v>0</v>
      </c>
      <c r="Q489" s="31">
        <f t="shared" si="4"/>
        <v>46.91</v>
      </c>
    </row>
    <row r="490" spans="1:17" ht="45" x14ac:dyDescent="0.2">
      <c r="A490" s="28"/>
      <c r="B490" s="28"/>
      <c r="C490" s="28"/>
      <c r="D490" s="37" t="s">
        <v>744</v>
      </c>
      <c r="E490" s="57" t="s">
        <v>10</v>
      </c>
      <c r="F490" s="28"/>
      <c r="G490" s="28"/>
      <c r="H490" s="28"/>
      <c r="I490" s="59">
        <f>46.22*16.35</f>
        <v>755.697</v>
      </c>
      <c r="J490" s="14" t="s">
        <v>653</v>
      </c>
      <c r="K490" s="76" t="s">
        <v>756</v>
      </c>
      <c r="L490" s="28"/>
      <c r="M490" s="28"/>
      <c r="N490" s="28"/>
      <c r="O490" s="28"/>
      <c r="P490" s="28"/>
      <c r="Q490" s="31">
        <f t="shared" si="4"/>
        <v>0</v>
      </c>
    </row>
    <row r="491" spans="1:17" ht="45" x14ac:dyDescent="0.2">
      <c r="A491" s="28"/>
      <c r="B491" s="28"/>
      <c r="C491" s="28"/>
      <c r="D491" s="60"/>
      <c r="E491" s="67"/>
      <c r="F491" s="28"/>
      <c r="G491" s="28"/>
      <c r="H491" s="28"/>
      <c r="I491" s="59">
        <f>3.075*45.77</f>
        <v>140.74275000000003</v>
      </c>
      <c r="J491" s="14" t="s">
        <v>654</v>
      </c>
      <c r="K491" s="77"/>
      <c r="L491" s="28"/>
      <c r="M491" s="28"/>
      <c r="N491" s="28"/>
      <c r="O491" s="28"/>
      <c r="P491" s="28"/>
      <c r="Q491" s="31">
        <f t="shared" si="4"/>
        <v>0</v>
      </c>
    </row>
    <row r="492" spans="1:17" ht="15" x14ac:dyDescent="0.2">
      <c r="A492" s="28"/>
      <c r="B492" s="28"/>
      <c r="C492" s="28"/>
      <c r="D492" s="60"/>
      <c r="E492" s="67"/>
      <c r="F492" s="28"/>
      <c r="G492" s="28"/>
      <c r="H492" s="28"/>
      <c r="I492" s="59"/>
      <c r="J492" s="14"/>
      <c r="K492" s="77"/>
      <c r="L492" s="28"/>
      <c r="M492" s="28"/>
      <c r="N492" s="28"/>
      <c r="O492" s="28"/>
      <c r="P492" s="28"/>
      <c r="Q492" s="31"/>
    </row>
    <row r="493" spans="1:17" ht="15" x14ac:dyDescent="0.2">
      <c r="A493" s="28"/>
      <c r="B493" s="28"/>
      <c r="C493" s="28"/>
      <c r="D493" s="62"/>
      <c r="E493" s="67"/>
      <c r="F493" s="28"/>
      <c r="G493" s="28"/>
      <c r="H493" s="28"/>
      <c r="I493" s="59"/>
      <c r="J493" s="14"/>
      <c r="K493" s="77"/>
      <c r="L493" s="28"/>
      <c r="M493" s="28"/>
      <c r="N493" s="28"/>
      <c r="O493" s="28"/>
      <c r="P493" s="28"/>
      <c r="Q493" s="31"/>
    </row>
    <row r="494" spans="1:17" ht="45" x14ac:dyDescent="0.2">
      <c r="A494" s="28"/>
      <c r="B494" s="28"/>
      <c r="C494" s="28"/>
      <c r="D494" s="37" t="s">
        <v>745</v>
      </c>
      <c r="E494" s="67"/>
      <c r="F494" s="28"/>
      <c r="G494" s="28"/>
      <c r="H494" s="28"/>
      <c r="I494" s="60">
        <f>4.47*45.6</f>
        <v>203.83199999999999</v>
      </c>
      <c r="J494" s="29" t="s">
        <v>655</v>
      </c>
      <c r="K494" s="77"/>
      <c r="L494" s="28"/>
      <c r="M494" s="28"/>
      <c r="N494" s="28"/>
      <c r="O494" s="28"/>
      <c r="P494" s="28"/>
      <c r="Q494" s="31"/>
    </row>
    <row r="495" spans="1:17" ht="15" x14ac:dyDescent="0.2">
      <c r="A495" s="28"/>
      <c r="B495" s="28"/>
      <c r="C495" s="28"/>
      <c r="D495" s="59"/>
      <c r="E495" s="67"/>
      <c r="F495" s="28"/>
      <c r="G495" s="28"/>
      <c r="H495" s="28"/>
      <c r="I495" s="60"/>
      <c r="J495" s="29"/>
      <c r="K495" s="77"/>
      <c r="L495" s="28"/>
      <c r="M495" s="28"/>
      <c r="N495" s="28"/>
      <c r="O495" s="28"/>
      <c r="P495" s="28"/>
      <c r="Q495" s="31"/>
    </row>
    <row r="496" spans="1:17" ht="47.25" x14ac:dyDescent="0.2">
      <c r="A496" s="28"/>
      <c r="B496" s="28"/>
      <c r="C496" s="28"/>
      <c r="D496" s="37" t="s">
        <v>746</v>
      </c>
      <c r="E496" s="67"/>
      <c r="F496" s="28"/>
      <c r="G496" s="28"/>
      <c r="H496" s="28"/>
      <c r="I496" s="60"/>
      <c r="J496" s="29"/>
      <c r="K496" s="77"/>
      <c r="L496" s="28"/>
      <c r="M496" s="28"/>
      <c r="N496" s="28"/>
      <c r="O496" s="28"/>
      <c r="P496" s="28"/>
      <c r="Q496" s="31"/>
    </row>
    <row r="497" spans="1:17" ht="31.5" outlineLevel="2" x14ac:dyDescent="0.2">
      <c r="A497" s="30">
        <v>100100</v>
      </c>
      <c r="B497" s="28"/>
      <c r="C497" s="30">
        <v>641455</v>
      </c>
      <c r="D497" s="37" t="s">
        <v>22</v>
      </c>
      <c r="E497" s="67"/>
      <c r="F497" s="13" t="s">
        <v>9</v>
      </c>
      <c r="G497" s="13">
        <v>0</v>
      </c>
      <c r="H497" s="13">
        <v>0</v>
      </c>
      <c r="I497" s="57"/>
      <c r="J497" s="13"/>
      <c r="K497" s="77"/>
      <c r="L497" s="13" t="s">
        <v>9</v>
      </c>
      <c r="M497" s="13" t="s">
        <v>9</v>
      </c>
      <c r="N497" s="13">
        <v>0</v>
      </c>
      <c r="O497" s="13">
        <v>0</v>
      </c>
      <c r="P497" s="13">
        <v>0</v>
      </c>
      <c r="Q497" s="31">
        <f t="shared" si="4"/>
        <v>0</v>
      </c>
    </row>
    <row r="498" spans="1:17" ht="15" outlineLevel="2" x14ac:dyDescent="0.2">
      <c r="A498" s="30">
        <v>100101</v>
      </c>
      <c r="B498" s="28"/>
      <c r="C498" s="30">
        <v>921430</v>
      </c>
      <c r="D498" s="59" t="s">
        <v>23</v>
      </c>
      <c r="E498" s="67"/>
      <c r="F498" s="13" t="s">
        <v>9</v>
      </c>
      <c r="G498" s="13">
        <v>0</v>
      </c>
      <c r="H498" s="13">
        <v>0</v>
      </c>
      <c r="I498" s="57">
        <v>0</v>
      </c>
      <c r="J498" s="13"/>
      <c r="K498" s="77"/>
      <c r="L498" s="13" t="s">
        <v>9</v>
      </c>
      <c r="M498" s="13" t="s">
        <v>9</v>
      </c>
      <c r="N498" s="13">
        <v>0</v>
      </c>
      <c r="O498" s="13">
        <v>0</v>
      </c>
      <c r="P498" s="13">
        <v>0</v>
      </c>
      <c r="Q498" s="31">
        <f t="shared" si="4"/>
        <v>0</v>
      </c>
    </row>
    <row r="499" spans="1:17" ht="75" outlineLevel="2" x14ac:dyDescent="0.2">
      <c r="A499" s="30">
        <v>100102</v>
      </c>
      <c r="B499" s="28"/>
      <c r="C499" s="30">
        <v>925336</v>
      </c>
      <c r="D499" s="59" t="s">
        <v>149</v>
      </c>
      <c r="E499" s="57" t="s">
        <v>15</v>
      </c>
      <c r="F499" s="13">
        <v>142.32</v>
      </c>
      <c r="G499" s="13">
        <v>9</v>
      </c>
      <c r="H499" s="13">
        <v>0</v>
      </c>
      <c r="I499" s="57">
        <v>9</v>
      </c>
      <c r="J499" s="13"/>
      <c r="K499" s="77"/>
      <c r="L499" s="13">
        <v>3.37</v>
      </c>
      <c r="M499" s="13">
        <v>479.61</v>
      </c>
      <c r="N499" s="13">
        <v>30.33</v>
      </c>
      <c r="O499" s="13">
        <v>0</v>
      </c>
      <c r="P499" s="13">
        <v>30.33</v>
      </c>
      <c r="Q499" s="31">
        <f t="shared" si="4"/>
        <v>3.37</v>
      </c>
    </row>
    <row r="500" spans="1:17" ht="75" outlineLevel="2" x14ac:dyDescent="0.2">
      <c r="A500" s="30">
        <v>100103</v>
      </c>
      <c r="B500" s="28"/>
      <c r="C500" s="30">
        <v>922677</v>
      </c>
      <c r="D500" s="59" t="s">
        <v>150</v>
      </c>
      <c r="E500" s="57" t="s">
        <v>15</v>
      </c>
      <c r="F500" s="13">
        <v>121.99</v>
      </c>
      <c r="G500" s="13">
        <v>0</v>
      </c>
      <c r="H500" s="13">
        <v>0</v>
      </c>
      <c r="I500" s="57">
        <v>0</v>
      </c>
      <c r="J500" s="13"/>
      <c r="K500" s="77"/>
      <c r="L500" s="13">
        <v>6.83</v>
      </c>
      <c r="M500" s="13">
        <v>833.19</v>
      </c>
      <c r="N500" s="13">
        <v>0</v>
      </c>
      <c r="O500" s="13">
        <v>0</v>
      </c>
      <c r="P500" s="13">
        <v>0</v>
      </c>
      <c r="Q500" s="31">
        <f t="shared" ref="Q500:Q563" si="5">PRODUCT(K500,L500)</f>
        <v>6.83</v>
      </c>
    </row>
    <row r="501" spans="1:17" ht="75" outlineLevel="2" x14ac:dyDescent="0.2">
      <c r="A501" s="30">
        <v>100104</v>
      </c>
      <c r="B501" s="28"/>
      <c r="C501" s="30">
        <v>922320</v>
      </c>
      <c r="D501" s="59" t="s">
        <v>151</v>
      </c>
      <c r="E501" s="57" t="s">
        <v>15</v>
      </c>
      <c r="F501" s="13">
        <v>69.03</v>
      </c>
      <c r="G501" s="13">
        <v>0</v>
      </c>
      <c r="H501" s="13">
        <v>0</v>
      </c>
      <c r="I501" s="57">
        <v>0</v>
      </c>
      <c r="J501" s="13"/>
      <c r="K501" s="77"/>
      <c r="L501" s="13">
        <v>9.83</v>
      </c>
      <c r="M501" s="13">
        <v>678.56</v>
      </c>
      <c r="N501" s="13">
        <v>0</v>
      </c>
      <c r="O501" s="13">
        <v>0</v>
      </c>
      <c r="P501" s="13">
        <v>0</v>
      </c>
      <c r="Q501" s="31">
        <f t="shared" si="5"/>
        <v>9.83</v>
      </c>
    </row>
    <row r="502" spans="1:17" ht="75" outlineLevel="2" x14ac:dyDescent="0.2">
      <c r="A502" s="30">
        <v>100105</v>
      </c>
      <c r="B502" s="28"/>
      <c r="C502" s="30">
        <v>922472</v>
      </c>
      <c r="D502" s="59" t="s">
        <v>152</v>
      </c>
      <c r="E502" s="57" t="s">
        <v>15</v>
      </c>
      <c r="F502" s="13">
        <v>121.08</v>
      </c>
      <c r="G502" s="13">
        <v>0</v>
      </c>
      <c r="H502" s="13">
        <v>0</v>
      </c>
      <c r="I502" s="57">
        <v>0</v>
      </c>
      <c r="J502" s="13"/>
      <c r="K502" s="77"/>
      <c r="L502" s="13">
        <v>12.16</v>
      </c>
      <c r="M502" s="13">
        <v>1472.33</v>
      </c>
      <c r="N502" s="13">
        <v>0</v>
      </c>
      <c r="O502" s="13">
        <v>0</v>
      </c>
      <c r="P502" s="13">
        <v>0</v>
      </c>
      <c r="Q502" s="31">
        <f t="shared" si="5"/>
        <v>12.16</v>
      </c>
    </row>
    <row r="503" spans="1:17" ht="75" outlineLevel="2" x14ac:dyDescent="0.2">
      <c r="A503" s="30">
        <v>100106</v>
      </c>
      <c r="B503" s="28"/>
      <c r="C503" s="30">
        <v>923904</v>
      </c>
      <c r="D503" s="59" t="s">
        <v>153</v>
      </c>
      <c r="E503" s="57" t="s">
        <v>15</v>
      </c>
      <c r="F503" s="13">
        <v>64.23</v>
      </c>
      <c r="G503" s="13">
        <v>0</v>
      </c>
      <c r="H503" s="13">
        <v>0</v>
      </c>
      <c r="I503" s="57">
        <v>0</v>
      </c>
      <c r="J503" s="13"/>
      <c r="K503" s="77"/>
      <c r="L503" s="13">
        <v>18.61</v>
      </c>
      <c r="M503" s="13">
        <v>1195.32</v>
      </c>
      <c r="N503" s="13">
        <v>0</v>
      </c>
      <c r="O503" s="13">
        <v>0</v>
      </c>
      <c r="P503" s="13">
        <v>0</v>
      </c>
      <c r="Q503" s="31">
        <f t="shared" si="5"/>
        <v>18.61</v>
      </c>
    </row>
    <row r="504" spans="1:17" ht="75" outlineLevel="2" x14ac:dyDescent="0.2">
      <c r="A504" s="30">
        <v>100107</v>
      </c>
      <c r="B504" s="28"/>
      <c r="C504" s="30">
        <v>925337</v>
      </c>
      <c r="D504" s="59" t="s">
        <v>154</v>
      </c>
      <c r="E504" s="57" t="s">
        <v>15</v>
      </c>
      <c r="F504" s="13">
        <v>109.12</v>
      </c>
      <c r="G504" s="13">
        <v>0</v>
      </c>
      <c r="H504" s="13">
        <v>0</v>
      </c>
      <c r="I504" s="57">
        <v>0</v>
      </c>
      <c r="J504" s="13"/>
      <c r="K504" s="77"/>
      <c r="L504" s="13">
        <v>25.95</v>
      </c>
      <c r="M504" s="13">
        <v>2831.66</v>
      </c>
      <c r="N504" s="13">
        <v>0</v>
      </c>
      <c r="O504" s="13">
        <v>0</v>
      </c>
      <c r="P504" s="13">
        <v>0</v>
      </c>
      <c r="Q504" s="31">
        <f t="shared" si="5"/>
        <v>25.95</v>
      </c>
    </row>
    <row r="505" spans="1:17" ht="75" outlineLevel="2" x14ac:dyDescent="0.2">
      <c r="A505" s="30">
        <v>100108</v>
      </c>
      <c r="B505" s="28"/>
      <c r="C505" s="30">
        <v>923906</v>
      </c>
      <c r="D505" s="59" t="s">
        <v>155</v>
      </c>
      <c r="E505" s="57" t="s">
        <v>15</v>
      </c>
      <c r="F505" s="13">
        <v>0.6</v>
      </c>
      <c r="G505" s="13">
        <v>0</v>
      </c>
      <c r="H505" s="13">
        <v>0</v>
      </c>
      <c r="I505" s="57">
        <v>0</v>
      </c>
      <c r="J505" s="13"/>
      <c r="K505" s="77"/>
      <c r="L505" s="13">
        <v>32.549999999999997</v>
      </c>
      <c r="M505" s="13">
        <v>19.53</v>
      </c>
      <c r="N505" s="13">
        <v>0</v>
      </c>
      <c r="O505" s="13">
        <v>0</v>
      </c>
      <c r="P505" s="13">
        <v>0</v>
      </c>
      <c r="Q505" s="31">
        <f t="shared" si="5"/>
        <v>32.549999999999997</v>
      </c>
    </row>
    <row r="506" spans="1:17" ht="90" outlineLevel="2" x14ac:dyDescent="0.2">
      <c r="A506" s="30">
        <v>100109</v>
      </c>
      <c r="B506" s="28"/>
      <c r="C506" s="30">
        <v>920567</v>
      </c>
      <c r="D506" s="59" t="s">
        <v>156</v>
      </c>
      <c r="E506" s="57" t="s">
        <v>20</v>
      </c>
      <c r="F506" s="13">
        <v>49</v>
      </c>
      <c r="G506" s="13">
        <v>10</v>
      </c>
      <c r="H506" s="13">
        <v>0</v>
      </c>
      <c r="I506" s="57">
        <v>10</v>
      </c>
      <c r="J506" s="13"/>
      <c r="K506" s="77"/>
      <c r="L506" s="13">
        <v>6.06</v>
      </c>
      <c r="M506" s="13">
        <v>296.94</v>
      </c>
      <c r="N506" s="13">
        <v>60.6</v>
      </c>
      <c r="O506" s="13">
        <v>0</v>
      </c>
      <c r="P506" s="13">
        <v>60.6</v>
      </c>
      <c r="Q506" s="31">
        <f t="shared" si="5"/>
        <v>6.06</v>
      </c>
    </row>
    <row r="507" spans="1:17" ht="105" outlineLevel="2" x14ac:dyDescent="0.2">
      <c r="A507" s="30">
        <v>100110</v>
      </c>
      <c r="B507" s="28"/>
      <c r="C507" s="30">
        <v>920569</v>
      </c>
      <c r="D507" s="59" t="s">
        <v>157</v>
      </c>
      <c r="E507" s="57" t="s">
        <v>20</v>
      </c>
      <c r="F507" s="13">
        <v>57</v>
      </c>
      <c r="G507" s="13">
        <v>5</v>
      </c>
      <c r="H507" s="13">
        <v>0</v>
      </c>
      <c r="I507" s="57">
        <v>5</v>
      </c>
      <c r="J507" s="13"/>
      <c r="K507" s="77"/>
      <c r="L507" s="13">
        <v>10.47</v>
      </c>
      <c r="M507" s="13">
        <v>596.79</v>
      </c>
      <c r="N507" s="13">
        <v>52.35</v>
      </c>
      <c r="O507" s="13">
        <v>0</v>
      </c>
      <c r="P507" s="13">
        <v>52.35</v>
      </c>
      <c r="Q507" s="31">
        <f t="shared" si="5"/>
        <v>10.47</v>
      </c>
    </row>
    <row r="508" spans="1:17" ht="90" outlineLevel="2" x14ac:dyDescent="0.2">
      <c r="A508" s="30">
        <v>100111</v>
      </c>
      <c r="B508" s="28"/>
      <c r="C508" s="30">
        <v>920568</v>
      </c>
      <c r="D508" s="59" t="s">
        <v>158</v>
      </c>
      <c r="E508" s="57" t="s">
        <v>20</v>
      </c>
      <c r="F508" s="13">
        <v>37</v>
      </c>
      <c r="G508" s="13">
        <v>0</v>
      </c>
      <c r="H508" s="13">
        <v>0</v>
      </c>
      <c r="I508" s="57">
        <v>0</v>
      </c>
      <c r="J508" s="13"/>
      <c r="K508" s="77"/>
      <c r="L508" s="13">
        <v>8.44</v>
      </c>
      <c r="M508" s="13">
        <v>312.27999999999997</v>
      </c>
      <c r="N508" s="13">
        <v>0</v>
      </c>
      <c r="O508" s="13">
        <v>0</v>
      </c>
      <c r="P508" s="13">
        <v>0</v>
      </c>
      <c r="Q508" s="31">
        <f t="shared" si="5"/>
        <v>8.44</v>
      </c>
    </row>
    <row r="509" spans="1:17" ht="75" outlineLevel="2" x14ac:dyDescent="0.2">
      <c r="A509" s="30">
        <v>100112</v>
      </c>
      <c r="B509" s="28"/>
      <c r="C509" s="30">
        <v>922377</v>
      </c>
      <c r="D509" s="59" t="s">
        <v>159</v>
      </c>
      <c r="E509" s="57" t="s">
        <v>20</v>
      </c>
      <c r="F509" s="13">
        <v>5</v>
      </c>
      <c r="G509" s="13">
        <v>0</v>
      </c>
      <c r="H509" s="13">
        <v>0</v>
      </c>
      <c r="I509" s="57">
        <v>0</v>
      </c>
      <c r="J509" s="13"/>
      <c r="K509" s="77"/>
      <c r="L509" s="13">
        <v>34.159999999999997</v>
      </c>
      <c r="M509" s="13">
        <v>170.8</v>
      </c>
      <c r="N509" s="13">
        <v>0</v>
      </c>
      <c r="O509" s="13">
        <v>0</v>
      </c>
      <c r="P509" s="13">
        <v>0</v>
      </c>
      <c r="Q509" s="31">
        <f t="shared" si="5"/>
        <v>34.159999999999997</v>
      </c>
    </row>
    <row r="510" spans="1:17" ht="105" outlineLevel="2" x14ac:dyDescent="0.2">
      <c r="A510" s="30">
        <v>100113</v>
      </c>
      <c r="B510" s="28"/>
      <c r="C510" s="30">
        <v>923441</v>
      </c>
      <c r="D510" s="59" t="s">
        <v>160</v>
      </c>
      <c r="E510" s="57" t="s">
        <v>20</v>
      </c>
      <c r="F510" s="13">
        <v>30</v>
      </c>
      <c r="G510" s="13">
        <v>0</v>
      </c>
      <c r="H510" s="13">
        <v>0</v>
      </c>
      <c r="I510" s="57">
        <v>0</v>
      </c>
      <c r="J510" s="13"/>
      <c r="K510" s="77"/>
      <c r="L510" s="13">
        <v>14.4</v>
      </c>
      <c r="M510" s="13">
        <v>432</v>
      </c>
      <c r="N510" s="13">
        <v>0</v>
      </c>
      <c r="O510" s="13">
        <v>0</v>
      </c>
      <c r="P510" s="13">
        <v>0</v>
      </c>
      <c r="Q510" s="31">
        <f t="shared" si="5"/>
        <v>14.4</v>
      </c>
    </row>
    <row r="511" spans="1:17" ht="90" outlineLevel="2" x14ac:dyDescent="0.2">
      <c r="A511" s="30">
        <v>100114</v>
      </c>
      <c r="B511" s="28"/>
      <c r="C511" s="30">
        <v>925338</v>
      </c>
      <c r="D511" s="59" t="s">
        <v>161</v>
      </c>
      <c r="E511" s="57" t="s">
        <v>20</v>
      </c>
      <c r="F511" s="13">
        <v>4</v>
      </c>
      <c r="G511" s="13">
        <v>1</v>
      </c>
      <c r="H511" s="13">
        <v>0</v>
      </c>
      <c r="I511" s="57">
        <v>1</v>
      </c>
      <c r="J511" s="13"/>
      <c r="K511" s="77"/>
      <c r="L511" s="13">
        <v>6.17</v>
      </c>
      <c r="M511" s="13">
        <v>24.68</v>
      </c>
      <c r="N511" s="13">
        <v>6.17</v>
      </c>
      <c r="O511" s="13">
        <v>0</v>
      </c>
      <c r="P511" s="13">
        <v>6.17</v>
      </c>
      <c r="Q511" s="31">
        <f t="shared" si="5"/>
        <v>6.17</v>
      </c>
    </row>
    <row r="512" spans="1:17" ht="90" outlineLevel="2" x14ac:dyDescent="0.2">
      <c r="A512" s="30">
        <v>100115</v>
      </c>
      <c r="B512" s="28"/>
      <c r="C512" s="30">
        <v>925339</v>
      </c>
      <c r="D512" s="59" t="s">
        <v>162</v>
      </c>
      <c r="E512" s="57" t="s">
        <v>20</v>
      </c>
      <c r="F512" s="13">
        <v>22</v>
      </c>
      <c r="G512" s="13">
        <v>1</v>
      </c>
      <c r="H512" s="13">
        <v>0</v>
      </c>
      <c r="I512" s="57">
        <v>1</v>
      </c>
      <c r="J512" s="13"/>
      <c r="K512" s="77"/>
      <c r="L512" s="13">
        <v>6.33</v>
      </c>
      <c r="M512" s="13">
        <v>139.26</v>
      </c>
      <c r="N512" s="13">
        <v>6.33</v>
      </c>
      <c r="O512" s="13">
        <v>0</v>
      </c>
      <c r="P512" s="13">
        <v>6.33</v>
      </c>
      <c r="Q512" s="31">
        <f t="shared" si="5"/>
        <v>6.33</v>
      </c>
    </row>
    <row r="513" spans="1:17" ht="45" outlineLevel="2" x14ac:dyDescent="0.2">
      <c r="A513" s="30">
        <v>100116</v>
      </c>
      <c r="B513" s="28"/>
      <c r="C513" s="30">
        <v>925340</v>
      </c>
      <c r="D513" s="59" t="s">
        <v>163</v>
      </c>
      <c r="E513" s="57" t="s">
        <v>20</v>
      </c>
      <c r="F513" s="13">
        <v>8</v>
      </c>
      <c r="G513" s="13">
        <v>3</v>
      </c>
      <c r="H513" s="13">
        <v>0</v>
      </c>
      <c r="I513" s="57">
        <v>3</v>
      </c>
      <c r="J513" s="13"/>
      <c r="K513" s="77"/>
      <c r="L513" s="13">
        <v>13.16</v>
      </c>
      <c r="M513" s="13">
        <v>105.28</v>
      </c>
      <c r="N513" s="13">
        <v>39.479999999999997</v>
      </c>
      <c r="O513" s="13">
        <v>0</v>
      </c>
      <c r="P513" s="13">
        <v>39.479999999999997</v>
      </c>
      <c r="Q513" s="31">
        <f t="shared" si="5"/>
        <v>13.16</v>
      </c>
    </row>
    <row r="514" spans="1:17" ht="75" outlineLevel="2" x14ac:dyDescent="0.2">
      <c r="A514" s="30">
        <v>100117</v>
      </c>
      <c r="B514" s="28"/>
      <c r="C514" s="30">
        <v>925341</v>
      </c>
      <c r="D514" s="59" t="s">
        <v>164</v>
      </c>
      <c r="E514" s="57" t="s">
        <v>20</v>
      </c>
      <c r="F514" s="13">
        <v>10</v>
      </c>
      <c r="G514" s="13">
        <v>0</v>
      </c>
      <c r="H514" s="13">
        <v>0</v>
      </c>
      <c r="I514" s="57">
        <v>0</v>
      </c>
      <c r="J514" s="13"/>
      <c r="K514" s="77"/>
      <c r="L514" s="13">
        <v>8.26</v>
      </c>
      <c r="M514" s="13">
        <v>82.6</v>
      </c>
      <c r="N514" s="13">
        <v>0</v>
      </c>
      <c r="O514" s="13">
        <v>0</v>
      </c>
      <c r="P514" s="13">
        <v>0</v>
      </c>
      <c r="Q514" s="31">
        <f t="shared" si="5"/>
        <v>8.26</v>
      </c>
    </row>
    <row r="515" spans="1:17" ht="90" outlineLevel="2" x14ac:dyDescent="0.2">
      <c r="A515" s="30">
        <v>100118</v>
      </c>
      <c r="B515" s="28"/>
      <c r="C515" s="30">
        <v>925342</v>
      </c>
      <c r="D515" s="59" t="s">
        <v>165</v>
      </c>
      <c r="E515" s="57" t="s">
        <v>20</v>
      </c>
      <c r="F515" s="13">
        <v>3</v>
      </c>
      <c r="G515" s="13">
        <v>3</v>
      </c>
      <c r="H515" s="13">
        <v>0</v>
      </c>
      <c r="I515" s="57">
        <v>3</v>
      </c>
      <c r="J515" s="13"/>
      <c r="K515" s="77"/>
      <c r="L515" s="13">
        <v>8.3800000000000008</v>
      </c>
      <c r="M515" s="13">
        <v>25.14</v>
      </c>
      <c r="N515" s="13">
        <v>25.14</v>
      </c>
      <c r="O515" s="13">
        <v>0</v>
      </c>
      <c r="P515" s="13">
        <v>25.14</v>
      </c>
      <c r="Q515" s="31">
        <f t="shared" si="5"/>
        <v>8.3800000000000008</v>
      </c>
    </row>
    <row r="516" spans="1:17" ht="75" outlineLevel="2" x14ac:dyDescent="0.2">
      <c r="A516" s="30">
        <v>100119</v>
      </c>
      <c r="B516" s="28"/>
      <c r="C516" s="30">
        <v>923437</v>
      </c>
      <c r="D516" s="59" t="s">
        <v>166</v>
      </c>
      <c r="E516" s="57" t="s">
        <v>20</v>
      </c>
      <c r="F516" s="13">
        <v>13</v>
      </c>
      <c r="G516" s="13">
        <v>10</v>
      </c>
      <c r="H516" s="13">
        <v>0</v>
      </c>
      <c r="I516" s="57">
        <v>10</v>
      </c>
      <c r="J516" s="13"/>
      <c r="K516" s="77"/>
      <c r="L516" s="13">
        <v>7.54</v>
      </c>
      <c r="M516" s="13">
        <v>98.02</v>
      </c>
      <c r="N516" s="13">
        <v>75.400000000000006</v>
      </c>
      <c r="O516" s="13">
        <v>0</v>
      </c>
      <c r="P516" s="13">
        <v>75.400000000000006</v>
      </c>
      <c r="Q516" s="31">
        <f t="shared" si="5"/>
        <v>7.54</v>
      </c>
    </row>
    <row r="517" spans="1:17" ht="75" outlineLevel="2" x14ac:dyDescent="0.2">
      <c r="A517" s="30">
        <v>100120</v>
      </c>
      <c r="B517" s="28"/>
      <c r="C517" s="30">
        <v>923436</v>
      </c>
      <c r="D517" s="59" t="s">
        <v>167</v>
      </c>
      <c r="E517" s="57" t="s">
        <v>20</v>
      </c>
      <c r="F517" s="13">
        <v>6</v>
      </c>
      <c r="G517" s="13">
        <v>3</v>
      </c>
      <c r="H517" s="13">
        <v>0</v>
      </c>
      <c r="I517" s="57">
        <v>3</v>
      </c>
      <c r="J517" s="13"/>
      <c r="K517" s="77"/>
      <c r="L517" s="13">
        <v>11.56</v>
      </c>
      <c r="M517" s="13">
        <v>69.36</v>
      </c>
      <c r="N517" s="13">
        <v>34.68</v>
      </c>
      <c r="O517" s="13">
        <v>0</v>
      </c>
      <c r="P517" s="13">
        <v>34.68</v>
      </c>
      <c r="Q517" s="31">
        <f t="shared" si="5"/>
        <v>11.56</v>
      </c>
    </row>
    <row r="518" spans="1:17" ht="75" outlineLevel="2" x14ac:dyDescent="0.2">
      <c r="A518" s="30">
        <v>100121</v>
      </c>
      <c r="B518" s="28"/>
      <c r="C518" s="30">
        <v>922451</v>
      </c>
      <c r="D518" s="59" t="s">
        <v>168</v>
      </c>
      <c r="E518" s="57" t="s">
        <v>20</v>
      </c>
      <c r="F518" s="13">
        <v>10</v>
      </c>
      <c r="G518" s="13">
        <v>0</v>
      </c>
      <c r="H518" s="13">
        <v>0</v>
      </c>
      <c r="I518" s="57">
        <v>0</v>
      </c>
      <c r="J518" s="13"/>
      <c r="K518" s="77"/>
      <c r="L518" s="13">
        <v>14.12</v>
      </c>
      <c r="M518" s="13">
        <v>141.19999999999999</v>
      </c>
      <c r="N518" s="13">
        <v>0</v>
      </c>
      <c r="O518" s="13">
        <v>0</v>
      </c>
      <c r="P518" s="13">
        <v>0</v>
      </c>
      <c r="Q518" s="31">
        <f t="shared" si="5"/>
        <v>14.12</v>
      </c>
    </row>
    <row r="519" spans="1:17" ht="75" outlineLevel="2" x14ac:dyDescent="0.2">
      <c r="A519" s="30">
        <v>100122</v>
      </c>
      <c r="B519" s="28"/>
      <c r="C519" s="30">
        <v>922679</v>
      </c>
      <c r="D519" s="59" t="s">
        <v>169</v>
      </c>
      <c r="E519" s="57" t="s">
        <v>20</v>
      </c>
      <c r="F519" s="13">
        <v>14</v>
      </c>
      <c r="G519" s="13">
        <v>0</v>
      </c>
      <c r="H519" s="13">
        <v>0</v>
      </c>
      <c r="I519" s="57">
        <v>0</v>
      </c>
      <c r="J519" s="13"/>
      <c r="K519" s="77"/>
      <c r="L519" s="13">
        <v>9.2200000000000006</v>
      </c>
      <c r="M519" s="13">
        <v>129.08000000000001</v>
      </c>
      <c r="N519" s="13">
        <v>0</v>
      </c>
      <c r="O519" s="13">
        <v>0</v>
      </c>
      <c r="P519" s="13">
        <v>0</v>
      </c>
      <c r="Q519" s="31">
        <f t="shared" si="5"/>
        <v>9.2200000000000006</v>
      </c>
    </row>
    <row r="520" spans="1:17" ht="75" outlineLevel="2" x14ac:dyDescent="0.2">
      <c r="A520" s="30">
        <v>100123</v>
      </c>
      <c r="B520" s="28"/>
      <c r="C520" s="30">
        <v>923934</v>
      </c>
      <c r="D520" s="59" t="s">
        <v>170</v>
      </c>
      <c r="E520" s="57" t="s">
        <v>20</v>
      </c>
      <c r="F520" s="13">
        <v>2</v>
      </c>
      <c r="G520" s="13">
        <v>0</v>
      </c>
      <c r="H520" s="13">
        <v>0</v>
      </c>
      <c r="I520" s="57">
        <v>0</v>
      </c>
      <c r="J520" s="13"/>
      <c r="K520" s="77"/>
      <c r="L520" s="13">
        <v>24.23</v>
      </c>
      <c r="M520" s="13">
        <v>48.46</v>
      </c>
      <c r="N520" s="13">
        <v>0</v>
      </c>
      <c r="O520" s="13">
        <v>0</v>
      </c>
      <c r="P520" s="13">
        <v>0</v>
      </c>
      <c r="Q520" s="31">
        <f t="shared" si="5"/>
        <v>24.23</v>
      </c>
    </row>
    <row r="521" spans="1:17" ht="75" outlineLevel="2" x14ac:dyDescent="0.2">
      <c r="A521" s="30">
        <v>100124</v>
      </c>
      <c r="B521" s="28"/>
      <c r="C521" s="30">
        <v>923951</v>
      </c>
      <c r="D521" s="59" t="s">
        <v>171</v>
      </c>
      <c r="E521" s="57" t="s">
        <v>20</v>
      </c>
      <c r="F521" s="13">
        <v>3</v>
      </c>
      <c r="G521" s="13">
        <v>0</v>
      </c>
      <c r="H521" s="13">
        <v>0</v>
      </c>
      <c r="I521" s="57">
        <v>0</v>
      </c>
      <c r="J521" s="13"/>
      <c r="K521" s="77"/>
      <c r="L521" s="13">
        <v>28.32</v>
      </c>
      <c r="M521" s="13">
        <v>84.96</v>
      </c>
      <c r="N521" s="13">
        <v>0</v>
      </c>
      <c r="O521" s="13">
        <v>0</v>
      </c>
      <c r="P521" s="13">
        <v>0</v>
      </c>
      <c r="Q521" s="31">
        <f t="shared" si="5"/>
        <v>28.32</v>
      </c>
    </row>
    <row r="522" spans="1:17" ht="90" outlineLevel="2" x14ac:dyDescent="0.2">
      <c r="A522" s="30">
        <v>100125</v>
      </c>
      <c r="B522" s="28"/>
      <c r="C522" s="30">
        <v>925343</v>
      </c>
      <c r="D522" s="59" t="s">
        <v>172</v>
      </c>
      <c r="E522" s="57" t="s">
        <v>20</v>
      </c>
      <c r="F522" s="13">
        <v>4</v>
      </c>
      <c r="G522" s="13">
        <v>0</v>
      </c>
      <c r="H522" s="13">
        <v>0</v>
      </c>
      <c r="I522" s="57">
        <v>0</v>
      </c>
      <c r="J522" s="13"/>
      <c r="K522" s="77"/>
      <c r="L522" s="13">
        <v>18.010000000000002</v>
      </c>
      <c r="M522" s="13">
        <v>72.040000000000006</v>
      </c>
      <c r="N522" s="13">
        <v>0</v>
      </c>
      <c r="O522" s="13">
        <v>0</v>
      </c>
      <c r="P522" s="13">
        <v>0</v>
      </c>
      <c r="Q522" s="31">
        <f t="shared" si="5"/>
        <v>18.010000000000002</v>
      </c>
    </row>
    <row r="523" spans="1:17" ht="75" outlineLevel="2" x14ac:dyDescent="0.2">
      <c r="A523" s="30">
        <v>100126</v>
      </c>
      <c r="B523" s="28"/>
      <c r="C523" s="30">
        <v>923264</v>
      </c>
      <c r="D523" s="59" t="s">
        <v>173</v>
      </c>
      <c r="E523" s="57" t="s">
        <v>20</v>
      </c>
      <c r="F523" s="13">
        <v>4</v>
      </c>
      <c r="G523" s="13">
        <v>0</v>
      </c>
      <c r="H523" s="13">
        <v>0</v>
      </c>
      <c r="I523" s="57">
        <v>0</v>
      </c>
      <c r="J523" s="13"/>
      <c r="K523" s="77"/>
      <c r="L523" s="13">
        <v>64.94</v>
      </c>
      <c r="M523" s="13">
        <v>259.76</v>
      </c>
      <c r="N523" s="13">
        <v>0</v>
      </c>
      <c r="O523" s="13">
        <v>0</v>
      </c>
      <c r="P523" s="13">
        <v>0</v>
      </c>
      <c r="Q523" s="31">
        <f t="shared" si="5"/>
        <v>64.94</v>
      </c>
    </row>
    <row r="524" spans="1:17" ht="75" outlineLevel="2" x14ac:dyDescent="0.2">
      <c r="A524" s="30">
        <v>100127</v>
      </c>
      <c r="B524" s="28"/>
      <c r="C524" s="30">
        <v>925344</v>
      </c>
      <c r="D524" s="59" t="s">
        <v>174</v>
      </c>
      <c r="E524" s="57" t="s">
        <v>20</v>
      </c>
      <c r="F524" s="13">
        <v>6</v>
      </c>
      <c r="G524" s="13">
        <v>0</v>
      </c>
      <c r="H524" s="13">
        <v>0</v>
      </c>
      <c r="I524" s="57">
        <v>0</v>
      </c>
      <c r="J524" s="13"/>
      <c r="K524" s="77"/>
      <c r="L524" s="13">
        <v>22.01</v>
      </c>
      <c r="M524" s="13">
        <v>132.06</v>
      </c>
      <c r="N524" s="13">
        <v>0</v>
      </c>
      <c r="O524" s="13">
        <v>0</v>
      </c>
      <c r="P524" s="13">
        <v>0</v>
      </c>
      <c r="Q524" s="31">
        <f t="shared" si="5"/>
        <v>22.01</v>
      </c>
    </row>
    <row r="525" spans="1:17" ht="75" outlineLevel="2" x14ac:dyDescent="0.2">
      <c r="A525" s="30">
        <v>100128</v>
      </c>
      <c r="B525" s="28"/>
      <c r="C525" s="30">
        <v>925345</v>
      </c>
      <c r="D525" s="59" t="s">
        <v>175</v>
      </c>
      <c r="E525" s="57" t="s">
        <v>20</v>
      </c>
      <c r="F525" s="13">
        <v>9</v>
      </c>
      <c r="G525" s="13">
        <v>1</v>
      </c>
      <c r="H525" s="13">
        <v>0</v>
      </c>
      <c r="I525" s="57">
        <v>1</v>
      </c>
      <c r="J525" s="13"/>
      <c r="K525" s="77"/>
      <c r="L525" s="13">
        <v>49.85</v>
      </c>
      <c r="M525" s="13">
        <v>448.65</v>
      </c>
      <c r="N525" s="13">
        <v>49.85</v>
      </c>
      <c r="O525" s="13">
        <v>0</v>
      </c>
      <c r="P525" s="13">
        <v>49.85</v>
      </c>
      <c r="Q525" s="31">
        <f t="shared" si="5"/>
        <v>49.85</v>
      </c>
    </row>
    <row r="526" spans="1:17" ht="75" outlineLevel="2" x14ac:dyDescent="0.2">
      <c r="A526" s="30">
        <v>100129</v>
      </c>
      <c r="B526" s="28"/>
      <c r="C526" s="30">
        <v>923953</v>
      </c>
      <c r="D526" s="59" t="s">
        <v>176</v>
      </c>
      <c r="E526" s="57" t="s">
        <v>20</v>
      </c>
      <c r="F526" s="13">
        <v>1</v>
      </c>
      <c r="G526" s="13">
        <v>0</v>
      </c>
      <c r="H526" s="13">
        <v>0</v>
      </c>
      <c r="I526" s="57">
        <v>0</v>
      </c>
      <c r="J526" s="13"/>
      <c r="K526" s="77"/>
      <c r="L526" s="13">
        <v>72.5</v>
      </c>
      <c r="M526" s="13">
        <v>72.5</v>
      </c>
      <c r="N526" s="13">
        <v>0</v>
      </c>
      <c r="O526" s="13">
        <v>0</v>
      </c>
      <c r="P526" s="13">
        <v>0</v>
      </c>
      <c r="Q526" s="31">
        <f t="shared" si="5"/>
        <v>72.5</v>
      </c>
    </row>
    <row r="527" spans="1:17" ht="90" outlineLevel="2" x14ac:dyDescent="0.2">
      <c r="A527" s="30">
        <v>100130</v>
      </c>
      <c r="B527" s="28"/>
      <c r="C527" s="30">
        <v>948207</v>
      </c>
      <c r="D527" s="59" t="s">
        <v>177</v>
      </c>
      <c r="E527" s="57" t="s">
        <v>20</v>
      </c>
      <c r="F527" s="13">
        <v>10</v>
      </c>
      <c r="G527" s="13">
        <v>0</v>
      </c>
      <c r="H527" s="13">
        <v>0</v>
      </c>
      <c r="I527" s="57">
        <v>0</v>
      </c>
      <c r="J527" s="13"/>
      <c r="K527" s="77"/>
      <c r="L527" s="13">
        <v>170.63</v>
      </c>
      <c r="M527" s="13">
        <v>1706.3</v>
      </c>
      <c r="N527" s="13">
        <v>0</v>
      </c>
      <c r="O527" s="13">
        <v>0</v>
      </c>
      <c r="P527" s="13">
        <v>0</v>
      </c>
      <c r="Q527" s="31">
        <f t="shared" si="5"/>
        <v>170.63</v>
      </c>
    </row>
    <row r="528" spans="1:17" ht="75" outlineLevel="2" x14ac:dyDescent="0.2">
      <c r="A528" s="30">
        <v>100131</v>
      </c>
      <c r="B528" s="28"/>
      <c r="C528" s="30">
        <v>925346</v>
      </c>
      <c r="D528" s="59" t="s">
        <v>178</v>
      </c>
      <c r="E528" s="57" t="s">
        <v>20</v>
      </c>
      <c r="F528" s="13">
        <v>8</v>
      </c>
      <c r="G528" s="13">
        <v>0</v>
      </c>
      <c r="H528" s="13">
        <v>0</v>
      </c>
      <c r="I528" s="57">
        <v>0</v>
      </c>
      <c r="J528" s="13"/>
      <c r="K528" s="77"/>
      <c r="L528" s="13">
        <v>116.13</v>
      </c>
      <c r="M528" s="13">
        <v>929.04</v>
      </c>
      <c r="N528" s="13">
        <v>0</v>
      </c>
      <c r="O528" s="13">
        <v>0</v>
      </c>
      <c r="P528" s="13">
        <v>0</v>
      </c>
      <c r="Q528" s="31">
        <f t="shared" si="5"/>
        <v>116.13</v>
      </c>
    </row>
    <row r="529" spans="1:17" ht="90" outlineLevel="2" x14ac:dyDescent="0.2">
      <c r="A529" s="30">
        <v>100132</v>
      </c>
      <c r="B529" s="28"/>
      <c r="C529" s="30">
        <v>920572</v>
      </c>
      <c r="D529" s="59" t="s">
        <v>179</v>
      </c>
      <c r="E529" s="57" t="s">
        <v>20</v>
      </c>
      <c r="F529" s="13">
        <v>2</v>
      </c>
      <c r="G529" s="13">
        <v>0</v>
      </c>
      <c r="H529" s="13">
        <v>0</v>
      </c>
      <c r="I529" s="57">
        <v>0</v>
      </c>
      <c r="J529" s="13"/>
      <c r="K529" s="77"/>
      <c r="L529" s="13">
        <v>55.31</v>
      </c>
      <c r="M529" s="13">
        <v>110.62</v>
      </c>
      <c r="N529" s="13">
        <v>0</v>
      </c>
      <c r="O529" s="13">
        <v>0</v>
      </c>
      <c r="P529" s="13">
        <v>0</v>
      </c>
      <c r="Q529" s="31">
        <f t="shared" si="5"/>
        <v>55.31</v>
      </c>
    </row>
    <row r="530" spans="1:17" ht="105" outlineLevel="2" x14ac:dyDescent="0.2">
      <c r="A530" s="30">
        <v>100133</v>
      </c>
      <c r="B530" s="28"/>
      <c r="C530" s="30">
        <v>923195</v>
      </c>
      <c r="D530" s="59" t="s">
        <v>180</v>
      </c>
      <c r="E530" s="57" t="s">
        <v>20</v>
      </c>
      <c r="F530" s="13">
        <v>1</v>
      </c>
      <c r="G530" s="13">
        <v>0</v>
      </c>
      <c r="H530" s="13">
        <v>0</v>
      </c>
      <c r="I530" s="57">
        <v>0</v>
      </c>
      <c r="J530" s="13"/>
      <c r="K530" s="77"/>
      <c r="L530" s="13">
        <v>51.22</v>
      </c>
      <c r="M530" s="13">
        <v>51.22</v>
      </c>
      <c r="N530" s="13">
        <v>0</v>
      </c>
      <c r="O530" s="13">
        <v>0</v>
      </c>
      <c r="P530" s="13">
        <v>0</v>
      </c>
      <c r="Q530" s="31">
        <f t="shared" si="5"/>
        <v>51.22</v>
      </c>
    </row>
    <row r="531" spans="1:17" ht="75" outlineLevel="2" x14ac:dyDescent="0.2">
      <c r="A531" s="30">
        <v>100134</v>
      </c>
      <c r="B531" s="28"/>
      <c r="C531" s="30">
        <v>925347</v>
      </c>
      <c r="D531" s="59" t="s">
        <v>181</v>
      </c>
      <c r="E531" s="57" t="s">
        <v>20</v>
      </c>
      <c r="F531" s="13">
        <v>4</v>
      </c>
      <c r="G531" s="13">
        <v>0</v>
      </c>
      <c r="H531" s="13">
        <v>0</v>
      </c>
      <c r="I531" s="57">
        <v>0</v>
      </c>
      <c r="J531" s="13"/>
      <c r="K531" s="77"/>
      <c r="L531" s="13">
        <v>21.77</v>
      </c>
      <c r="M531" s="13">
        <v>87.08</v>
      </c>
      <c r="N531" s="13">
        <v>0</v>
      </c>
      <c r="O531" s="13">
        <v>0</v>
      </c>
      <c r="P531" s="13">
        <v>0</v>
      </c>
      <c r="Q531" s="31">
        <f t="shared" si="5"/>
        <v>21.77</v>
      </c>
    </row>
    <row r="532" spans="1:17" ht="90" outlineLevel="2" x14ac:dyDescent="0.2">
      <c r="A532" s="30">
        <v>100135</v>
      </c>
      <c r="B532" s="28"/>
      <c r="C532" s="30">
        <v>925348</v>
      </c>
      <c r="D532" s="59" t="s">
        <v>182</v>
      </c>
      <c r="E532" s="57" t="s">
        <v>20</v>
      </c>
      <c r="F532" s="13">
        <v>6</v>
      </c>
      <c r="G532" s="13">
        <v>1</v>
      </c>
      <c r="H532" s="13">
        <v>0</v>
      </c>
      <c r="I532" s="57">
        <v>1</v>
      </c>
      <c r="J532" s="13"/>
      <c r="K532" s="77"/>
      <c r="L532" s="13">
        <v>82.23</v>
      </c>
      <c r="M532" s="13">
        <v>493.38</v>
      </c>
      <c r="N532" s="13">
        <v>82.23</v>
      </c>
      <c r="O532" s="13">
        <v>0</v>
      </c>
      <c r="P532" s="13">
        <v>82.23</v>
      </c>
      <c r="Q532" s="31">
        <f t="shared" si="5"/>
        <v>82.23</v>
      </c>
    </row>
    <row r="533" spans="1:17" ht="150" outlineLevel="2" x14ac:dyDescent="0.2">
      <c r="A533" s="30">
        <v>100136</v>
      </c>
      <c r="B533" s="28"/>
      <c r="C533" s="30">
        <v>922467</v>
      </c>
      <c r="D533" s="59" t="s">
        <v>183</v>
      </c>
      <c r="E533" s="57" t="s">
        <v>20</v>
      </c>
      <c r="F533" s="13">
        <v>6</v>
      </c>
      <c r="G533" s="13">
        <v>0</v>
      </c>
      <c r="H533" s="13">
        <v>0</v>
      </c>
      <c r="I533" s="57">
        <v>0</v>
      </c>
      <c r="J533" s="13"/>
      <c r="K533" s="77"/>
      <c r="L533" s="13">
        <v>66.239999999999995</v>
      </c>
      <c r="M533" s="13">
        <v>397.44</v>
      </c>
      <c r="N533" s="13">
        <v>0</v>
      </c>
      <c r="O533" s="13">
        <v>0</v>
      </c>
      <c r="P533" s="13">
        <v>0</v>
      </c>
      <c r="Q533" s="31">
        <f t="shared" si="5"/>
        <v>66.239999999999995</v>
      </c>
    </row>
    <row r="534" spans="1:17" ht="120" outlineLevel="2" x14ac:dyDescent="0.2">
      <c r="A534" s="30">
        <v>100137</v>
      </c>
      <c r="B534" s="28"/>
      <c r="C534" s="30">
        <v>925349</v>
      </c>
      <c r="D534" s="59" t="s">
        <v>184</v>
      </c>
      <c r="E534" s="57" t="s">
        <v>15</v>
      </c>
      <c r="F534" s="13">
        <v>5.56</v>
      </c>
      <c r="G534" s="13">
        <v>0</v>
      </c>
      <c r="H534" s="13">
        <v>0</v>
      </c>
      <c r="I534" s="57">
        <v>0</v>
      </c>
      <c r="J534" s="13"/>
      <c r="K534" s="77"/>
      <c r="L534" s="13">
        <v>31.16</v>
      </c>
      <c r="M534" s="13">
        <v>173.24</v>
      </c>
      <c r="N534" s="13">
        <v>0</v>
      </c>
      <c r="O534" s="13">
        <v>0</v>
      </c>
      <c r="P534" s="13">
        <v>0</v>
      </c>
      <c r="Q534" s="31">
        <f t="shared" si="5"/>
        <v>31.16</v>
      </c>
    </row>
    <row r="535" spans="1:17" ht="120" outlineLevel="2" x14ac:dyDescent="0.2">
      <c r="A535" s="30">
        <v>100138</v>
      </c>
      <c r="B535" s="28"/>
      <c r="C535" s="30">
        <v>925350</v>
      </c>
      <c r="D535" s="59" t="s">
        <v>185</v>
      </c>
      <c r="E535" s="57" t="s">
        <v>20</v>
      </c>
      <c r="F535" s="13">
        <v>1</v>
      </c>
      <c r="G535" s="13">
        <v>0</v>
      </c>
      <c r="H535" s="13">
        <v>0</v>
      </c>
      <c r="I535" s="57">
        <v>0</v>
      </c>
      <c r="J535" s="13"/>
      <c r="K535" s="77"/>
      <c r="L535" s="13">
        <v>40.54</v>
      </c>
      <c r="M535" s="13">
        <v>40.54</v>
      </c>
      <c r="N535" s="13">
        <v>0</v>
      </c>
      <c r="O535" s="13">
        <v>0</v>
      </c>
      <c r="P535" s="13">
        <v>0</v>
      </c>
      <c r="Q535" s="31">
        <f t="shared" si="5"/>
        <v>40.54</v>
      </c>
    </row>
    <row r="536" spans="1:17" ht="120" outlineLevel="2" x14ac:dyDescent="0.2">
      <c r="A536" s="30">
        <v>100139</v>
      </c>
      <c r="B536" s="28"/>
      <c r="C536" s="30">
        <v>925351</v>
      </c>
      <c r="D536" s="59" t="s">
        <v>186</v>
      </c>
      <c r="E536" s="57" t="s">
        <v>20</v>
      </c>
      <c r="F536" s="13">
        <v>2</v>
      </c>
      <c r="G536" s="13">
        <v>0</v>
      </c>
      <c r="H536" s="13">
        <v>0</v>
      </c>
      <c r="I536" s="57">
        <v>0</v>
      </c>
      <c r="J536" s="13"/>
      <c r="K536" s="77"/>
      <c r="L536" s="13">
        <v>43.57</v>
      </c>
      <c r="M536" s="13">
        <v>87.14</v>
      </c>
      <c r="N536" s="13">
        <v>0</v>
      </c>
      <c r="O536" s="13">
        <v>0</v>
      </c>
      <c r="P536" s="13">
        <v>0</v>
      </c>
      <c r="Q536" s="31">
        <f t="shared" si="5"/>
        <v>43.57</v>
      </c>
    </row>
    <row r="537" spans="1:17" ht="105" outlineLevel="2" x14ac:dyDescent="0.2">
      <c r="A537" s="30">
        <v>100140</v>
      </c>
      <c r="B537" s="28"/>
      <c r="C537" s="30">
        <v>922356</v>
      </c>
      <c r="D537" s="59" t="s">
        <v>187</v>
      </c>
      <c r="E537" s="57" t="s">
        <v>20</v>
      </c>
      <c r="F537" s="13">
        <v>1</v>
      </c>
      <c r="G537" s="13">
        <v>0</v>
      </c>
      <c r="H537" s="13">
        <v>0</v>
      </c>
      <c r="I537" s="57">
        <v>0</v>
      </c>
      <c r="J537" s="13"/>
      <c r="K537" s="77"/>
      <c r="L537" s="13">
        <v>54.43</v>
      </c>
      <c r="M537" s="13">
        <v>54.43</v>
      </c>
      <c r="N537" s="13">
        <v>0</v>
      </c>
      <c r="O537" s="13">
        <v>0</v>
      </c>
      <c r="P537" s="13">
        <v>0</v>
      </c>
      <c r="Q537" s="31">
        <f t="shared" si="5"/>
        <v>54.43</v>
      </c>
    </row>
    <row r="538" spans="1:17" ht="30" outlineLevel="2" x14ac:dyDescent="0.2">
      <c r="A538" s="30">
        <v>100141</v>
      </c>
      <c r="B538" s="28"/>
      <c r="C538" s="30">
        <v>296689</v>
      </c>
      <c r="D538" s="59" t="s">
        <v>188</v>
      </c>
      <c r="E538" s="57" t="s">
        <v>24</v>
      </c>
      <c r="F538" s="13">
        <v>37.700000000000003</v>
      </c>
      <c r="G538" s="13">
        <v>0</v>
      </c>
      <c r="H538" s="13">
        <v>0</v>
      </c>
      <c r="I538" s="57">
        <v>0</v>
      </c>
      <c r="J538" s="13"/>
      <c r="K538" s="77"/>
      <c r="L538" s="13">
        <v>54.83</v>
      </c>
      <c r="M538" s="13">
        <v>2067.09</v>
      </c>
      <c r="N538" s="13">
        <v>0</v>
      </c>
      <c r="O538" s="13">
        <v>0</v>
      </c>
      <c r="P538" s="13">
        <v>0</v>
      </c>
      <c r="Q538" s="31">
        <f t="shared" si="5"/>
        <v>54.83</v>
      </c>
    </row>
    <row r="539" spans="1:17" ht="60" outlineLevel="2" x14ac:dyDescent="0.2">
      <c r="A539" s="30">
        <v>100142</v>
      </c>
      <c r="B539" s="28"/>
      <c r="C539" s="30">
        <v>921173</v>
      </c>
      <c r="D539" s="59" t="s">
        <v>189</v>
      </c>
      <c r="E539" s="57" t="s">
        <v>11</v>
      </c>
      <c r="F539" s="13">
        <v>36.61</v>
      </c>
      <c r="G539" s="13">
        <v>0</v>
      </c>
      <c r="H539" s="13">
        <v>0</v>
      </c>
      <c r="I539" s="57">
        <v>0</v>
      </c>
      <c r="J539" s="13"/>
      <c r="K539" s="77"/>
      <c r="L539" s="13">
        <v>23.64</v>
      </c>
      <c r="M539" s="13">
        <v>865.46</v>
      </c>
      <c r="N539" s="13">
        <v>0</v>
      </c>
      <c r="O539" s="13">
        <v>0</v>
      </c>
      <c r="P539" s="13">
        <v>0</v>
      </c>
      <c r="Q539" s="31">
        <f t="shared" si="5"/>
        <v>23.64</v>
      </c>
    </row>
    <row r="540" spans="1:17" ht="90" outlineLevel="2" x14ac:dyDescent="0.2">
      <c r="A540" s="30">
        <v>100143</v>
      </c>
      <c r="B540" s="28"/>
      <c r="C540" s="30">
        <v>925352</v>
      </c>
      <c r="D540" s="59" t="s">
        <v>190</v>
      </c>
      <c r="E540" s="57" t="s">
        <v>20</v>
      </c>
      <c r="F540" s="13">
        <v>2</v>
      </c>
      <c r="G540" s="13">
        <v>0</v>
      </c>
      <c r="H540" s="13">
        <v>0</v>
      </c>
      <c r="I540" s="57">
        <v>0</v>
      </c>
      <c r="J540" s="13"/>
      <c r="K540" s="77"/>
      <c r="L540" s="13">
        <v>898.17</v>
      </c>
      <c r="M540" s="13">
        <v>1796.34</v>
      </c>
      <c r="N540" s="13">
        <v>0</v>
      </c>
      <c r="O540" s="13">
        <v>0</v>
      </c>
      <c r="P540" s="13">
        <v>0</v>
      </c>
      <c r="Q540" s="31">
        <f t="shared" si="5"/>
        <v>898.17</v>
      </c>
    </row>
    <row r="541" spans="1:17" ht="60" outlineLevel="2" x14ac:dyDescent="0.2">
      <c r="A541" s="30">
        <v>100144</v>
      </c>
      <c r="B541" s="28"/>
      <c r="C541" s="30">
        <v>925353</v>
      </c>
      <c r="D541" s="59" t="s">
        <v>191</v>
      </c>
      <c r="E541" s="57" t="s">
        <v>20</v>
      </c>
      <c r="F541" s="13">
        <v>1</v>
      </c>
      <c r="G541" s="13">
        <v>0</v>
      </c>
      <c r="H541" s="13">
        <v>0</v>
      </c>
      <c r="I541" s="57">
        <v>0</v>
      </c>
      <c r="J541" s="13"/>
      <c r="K541" s="77"/>
      <c r="L541" s="13">
        <v>3292.4</v>
      </c>
      <c r="M541" s="13">
        <v>3292.4</v>
      </c>
      <c r="N541" s="13">
        <v>0</v>
      </c>
      <c r="O541" s="13">
        <v>0</v>
      </c>
      <c r="P541" s="13">
        <v>0</v>
      </c>
      <c r="Q541" s="31">
        <f t="shared" si="5"/>
        <v>3292.4</v>
      </c>
    </row>
    <row r="542" spans="1:17" ht="45" outlineLevel="2" x14ac:dyDescent="0.2">
      <c r="A542" s="30">
        <v>100145</v>
      </c>
      <c r="B542" s="28"/>
      <c r="C542" s="30">
        <v>200036</v>
      </c>
      <c r="D542" s="59" t="s">
        <v>192</v>
      </c>
      <c r="E542" s="57" t="s">
        <v>25</v>
      </c>
      <c r="F542" s="13">
        <v>1</v>
      </c>
      <c r="G542" s="13">
        <v>0</v>
      </c>
      <c r="H542" s="13">
        <v>0</v>
      </c>
      <c r="I542" s="57">
        <v>0</v>
      </c>
      <c r="J542" s="13"/>
      <c r="K542" s="77"/>
      <c r="L542" s="13">
        <v>62.24</v>
      </c>
      <c r="M542" s="13">
        <v>62.24</v>
      </c>
      <c r="N542" s="13">
        <v>0</v>
      </c>
      <c r="O542" s="13">
        <v>0</v>
      </c>
      <c r="P542" s="13">
        <v>0</v>
      </c>
      <c r="Q542" s="31">
        <f t="shared" si="5"/>
        <v>62.24</v>
      </c>
    </row>
    <row r="543" spans="1:17" ht="45" outlineLevel="2" x14ac:dyDescent="0.2">
      <c r="A543" s="30">
        <v>100146</v>
      </c>
      <c r="B543" s="28"/>
      <c r="C543" s="30">
        <v>925354</v>
      </c>
      <c r="D543" s="59" t="s">
        <v>193</v>
      </c>
      <c r="E543" s="57" t="s">
        <v>20</v>
      </c>
      <c r="F543" s="13">
        <v>1</v>
      </c>
      <c r="G543" s="13">
        <v>0</v>
      </c>
      <c r="H543" s="13">
        <v>0</v>
      </c>
      <c r="I543" s="57">
        <v>0</v>
      </c>
      <c r="J543" s="13"/>
      <c r="K543" s="77"/>
      <c r="L543" s="13">
        <v>96.26</v>
      </c>
      <c r="M543" s="13">
        <v>96.26</v>
      </c>
      <c r="N543" s="13">
        <v>0</v>
      </c>
      <c r="O543" s="13">
        <v>0</v>
      </c>
      <c r="P543" s="13">
        <v>0</v>
      </c>
      <c r="Q543" s="31">
        <f t="shared" si="5"/>
        <v>96.26</v>
      </c>
    </row>
    <row r="544" spans="1:17" ht="45" outlineLevel="2" x14ac:dyDescent="0.2">
      <c r="A544" s="30">
        <v>100147</v>
      </c>
      <c r="B544" s="28"/>
      <c r="C544" s="30">
        <v>925355</v>
      </c>
      <c r="D544" s="59" t="s">
        <v>194</v>
      </c>
      <c r="E544" s="57" t="s">
        <v>20</v>
      </c>
      <c r="F544" s="13">
        <v>1</v>
      </c>
      <c r="G544" s="13">
        <v>0</v>
      </c>
      <c r="H544" s="13">
        <v>0</v>
      </c>
      <c r="I544" s="57">
        <v>0</v>
      </c>
      <c r="J544" s="13"/>
      <c r="K544" s="77"/>
      <c r="L544" s="13">
        <v>8875.9699999999993</v>
      </c>
      <c r="M544" s="13">
        <v>8875.9699999999993</v>
      </c>
      <c r="N544" s="13">
        <v>0</v>
      </c>
      <c r="O544" s="13">
        <v>0</v>
      </c>
      <c r="P544" s="13">
        <v>0</v>
      </c>
      <c r="Q544" s="31">
        <f t="shared" si="5"/>
        <v>8875.9699999999993</v>
      </c>
    </row>
    <row r="545" spans="1:17" ht="15" x14ac:dyDescent="0.2">
      <c r="A545" s="28"/>
      <c r="B545" s="28"/>
      <c r="C545" s="28"/>
      <c r="D545" s="60"/>
      <c r="E545" s="67"/>
      <c r="F545" s="28"/>
      <c r="G545" s="28"/>
      <c r="H545" s="28"/>
      <c r="I545" s="67"/>
      <c r="J545" s="28"/>
      <c r="K545" s="77"/>
      <c r="L545" s="28"/>
      <c r="M545" s="28"/>
      <c r="N545" s="28"/>
      <c r="O545" s="28"/>
      <c r="P545" s="28"/>
      <c r="Q545" s="31">
        <f t="shared" si="5"/>
        <v>0</v>
      </c>
    </row>
    <row r="546" spans="1:17" ht="15" x14ac:dyDescent="0.2">
      <c r="A546" s="28"/>
      <c r="B546" s="28"/>
      <c r="C546" s="28"/>
      <c r="D546" s="60"/>
      <c r="E546" s="67"/>
      <c r="F546" s="28"/>
      <c r="G546" s="28"/>
      <c r="H546" s="28"/>
      <c r="I546" s="67"/>
      <c r="J546" s="28"/>
      <c r="K546" s="77"/>
      <c r="L546" s="28"/>
      <c r="M546" s="28"/>
      <c r="N546" s="28"/>
      <c r="O546" s="28"/>
      <c r="P546" s="28"/>
      <c r="Q546" s="31">
        <f t="shared" si="5"/>
        <v>0</v>
      </c>
    </row>
    <row r="547" spans="1:17" ht="15.75" outlineLevel="2" x14ac:dyDescent="0.2">
      <c r="A547" s="30">
        <v>110100</v>
      </c>
      <c r="B547" s="28"/>
      <c r="C547" s="30">
        <v>630787</v>
      </c>
      <c r="D547" s="37" t="s">
        <v>26</v>
      </c>
      <c r="E547" s="67"/>
      <c r="F547" s="13" t="s">
        <v>9</v>
      </c>
      <c r="G547" s="13">
        <v>0</v>
      </c>
      <c r="H547" s="13">
        <v>0</v>
      </c>
      <c r="I547" s="57">
        <v>0</v>
      </c>
      <c r="J547" s="13"/>
      <c r="K547" s="77"/>
      <c r="L547" s="13" t="s">
        <v>9</v>
      </c>
      <c r="M547" s="13" t="s">
        <v>9</v>
      </c>
      <c r="N547" s="13">
        <v>0</v>
      </c>
      <c r="O547" s="13">
        <v>0</v>
      </c>
      <c r="P547" s="13">
        <v>0</v>
      </c>
      <c r="Q547" s="31">
        <f t="shared" si="5"/>
        <v>0</v>
      </c>
    </row>
    <row r="548" spans="1:17" ht="75" outlineLevel="2" x14ac:dyDescent="0.2">
      <c r="A548" s="30">
        <v>110101</v>
      </c>
      <c r="B548" s="28"/>
      <c r="C548" s="30">
        <v>500011</v>
      </c>
      <c r="D548" s="59" t="s">
        <v>195</v>
      </c>
      <c r="E548" s="57" t="s">
        <v>15</v>
      </c>
      <c r="F548" s="13">
        <v>426.5</v>
      </c>
      <c r="G548" s="13">
        <v>0</v>
      </c>
      <c r="H548" s="13">
        <v>0</v>
      </c>
      <c r="I548" s="57">
        <v>0</v>
      </c>
      <c r="J548" s="13"/>
      <c r="K548" s="77"/>
      <c r="L548" s="13">
        <v>250.72</v>
      </c>
      <c r="M548" s="13">
        <v>106932.08</v>
      </c>
      <c r="N548" s="13">
        <v>0</v>
      </c>
      <c r="O548" s="13">
        <v>0</v>
      </c>
      <c r="P548" s="13">
        <v>0</v>
      </c>
      <c r="Q548" s="31">
        <f t="shared" si="5"/>
        <v>250.72</v>
      </c>
    </row>
    <row r="549" spans="1:17" ht="75" outlineLevel="2" x14ac:dyDescent="0.2">
      <c r="A549" s="30">
        <v>110102</v>
      </c>
      <c r="B549" s="28"/>
      <c r="C549" s="30">
        <v>925356</v>
      </c>
      <c r="D549" s="59" t="s">
        <v>196</v>
      </c>
      <c r="E549" s="57" t="s">
        <v>15</v>
      </c>
      <c r="F549" s="13">
        <v>176.51</v>
      </c>
      <c r="G549" s="13">
        <v>0</v>
      </c>
      <c r="H549" s="13">
        <v>0</v>
      </c>
      <c r="I549" s="57">
        <v>0</v>
      </c>
      <c r="J549" s="13"/>
      <c r="K549" s="77"/>
      <c r="L549" s="13">
        <v>35.67</v>
      </c>
      <c r="M549" s="13">
        <v>6296.11</v>
      </c>
      <c r="N549" s="13">
        <v>0</v>
      </c>
      <c r="O549" s="13">
        <v>0</v>
      </c>
      <c r="P549" s="13">
        <v>0</v>
      </c>
      <c r="Q549" s="31">
        <f t="shared" si="5"/>
        <v>35.67</v>
      </c>
    </row>
    <row r="550" spans="1:17" ht="75" outlineLevel="2" x14ac:dyDescent="0.2">
      <c r="A550" s="30">
        <v>110103</v>
      </c>
      <c r="B550" s="28"/>
      <c r="C550" s="30">
        <v>924010</v>
      </c>
      <c r="D550" s="59" t="s">
        <v>197</v>
      </c>
      <c r="E550" s="57" t="s">
        <v>15</v>
      </c>
      <c r="F550" s="13">
        <v>87.35</v>
      </c>
      <c r="G550" s="13">
        <v>0</v>
      </c>
      <c r="H550" s="13">
        <v>0</v>
      </c>
      <c r="I550" s="57">
        <v>0</v>
      </c>
      <c r="J550" s="13"/>
      <c r="K550" s="77"/>
      <c r="L550" s="13">
        <v>39.450000000000003</v>
      </c>
      <c r="M550" s="13">
        <v>3445.95</v>
      </c>
      <c r="N550" s="13">
        <v>0</v>
      </c>
      <c r="O550" s="13">
        <v>0</v>
      </c>
      <c r="P550" s="13">
        <v>0</v>
      </c>
      <c r="Q550" s="31">
        <f t="shared" si="5"/>
        <v>39.450000000000003</v>
      </c>
    </row>
    <row r="551" spans="1:17" ht="75" outlineLevel="2" x14ac:dyDescent="0.2">
      <c r="A551" s="30">
        <v>110104</v>
      </c>
      <c r="B551" s="28"/>
      <c r="C551" s="30">
        <v>925358</v>
      </c>
      <c r="D551" s="59" t="s">
        <v>198</v>
      </c>
      <c r="E551" s="57" t="s">
        <v>15</v>
      </c>
      <c r="F551" s="13">
        <v>180.27</v>
      </c>
      <c r="G551" s="13">
        <v>0</v>
      </c>
      <c r="H551" s="13">
        <v>0</v>
      </c>
      <c r="I551" s="57">
        <v>0</v>
      </c>
      <c r="J551" s="13"/>
      <c r="K551" s="77"/>
      <c r="L551" s="13">
        <v>140.31</v>
      </c>
      <c r="M551" s="13">
        <v>25293.68</v>
      </c>
      <c r="N551" s="13">
        <v>0</v>
      </c>
      <c r="O551" s="13">
        <v>0</v>
      </c>
      <c r="P551" s="13">
        <v>0</v>
      </c>
      <c r="Q551" s="31">
        <f t="shared" si="5"/>
        <v>140.31</v>
      </c>
    </row>
    <row r="552" spans="1:17" ht="75" outlineLevel="2" x14ac:dyDescent="0.2">
      <c r="A552" s="30">
        <v>110105</v>
      </c>
      <c r="B552" s="28"/>
      <c r="C552" s="30">
        <v>925359</v>
      </c>
      <c r="D552" s="59" t="s">
        <v>199</v>
      </c>
      <c r="E552" s="57" t="s">
        <v>15</v>
      </c>
      <c r="F552" s="13">
        <v>49.08</v>
      </c>
      <c r="G552" s="13">
        <v>0</v>
      </c>
      <c r="H552" s="13">
        <v>0</v>
      </c>
      <c r="I552" s="57">
        <v>0</v>
      </c>
      <c r="J552" s="13"/>
      <c r="K552" s="77"/>
      <c r="L552" s="13">
        <v>205.05</v>
      </c>
      <c r="M552" s="13">
        <v>10063.85</v>
      </c>
      <c r="N552" s="13">
        <v>0</v>
      </c>
      <c r="O552" s="13">
        <v>0</v>
      </c>
      <c r="P552" s="13">
        <v>0</v>
      </c>
      <c r="Q552" s="31">
        <f t="shared" si="5"/>
        <v>205.05</v>
      </c>
    </row>
    <row r="553" spans="1:17" ht="75" outlineLevel="2" x14ac:dyDescent="0.2">
      <c r="A553" s="30">
        <v>110106</v>
      </c>
      <c r="B553" s="28"/>
      <c r="C553" s="30">
        <v>925360</v>
      </c>
      <c r="D553" s="59" t="s">
        <v>200</v>
      </c>
      <c r="E553" s="57" t="s">
        <v>15</v>
      </c>
      <c r="F553" s="13">
        <v>63.1</v>
      </c>
      <c r="G553" s="13">
        <v>0</v>
      </c>
      <c r="H553" s="13">
        <v>0</v>
      </c>
      <c r="I553" s="57">
        <v>0</v>
      </c>
      <c r="J553" s="13"/>
      <c r="K553" s="77"/>
      <c r="L553" s="13">
        <v>295.10000000000002</v>
      </c>
      <c r="M553" s="13">
        <v>18620.810000000001</v>
      </c>
      <c r="N553" s="13">
        <v>0</v>
      </c>
      <c r="O553" s="13">
        <v>0</v>
      </c>
      <c r="P553" s="13">
        <v>0</v>
      </c>
      <c r="Q553" s="31">
        <f t="shared" si="5"/>
        <v>295.10000000000002</v>
      </c>
    </row>
    <row r="554" spans="1:17" ht="75" outlineLevel="2" x14ac:dyDescent="0.2">
      <c r="A554" s="30">
        <v>110107</v>
      </c>
      <c r="B554" s="28"/>
      <c r="C554" s="30">
        <v>925361</v>
      </c>
      <c r="D554" s="59" t="s">
        <v>201</v>
      </c>
      <c r="E554" s="57" t="s">
        <v>20</v>
      </c>
      <c r="F554" s="13">
        <v>30</v>
      </c>
      <c r="G554" s="13">
        <v>0</v>
      </c>
      <c r="H554" s="13">
        <v>0</v>
      </c>
      <c r="I554" s="57">
        <v>0</v>
      </c>
      <c r="J554" s="13"/>
      <c r="K554" s="77"/>
      <c r="L554" s="13">
        <v>573.72</v>
      </c>
      <c r="M554" s="13">
        <v>17211.599999999999</v>
      </c>
      <c r="N554" s="13">
        <v>0</v>
      </c>
      <c r="O554" s="13">
        <v>0</v>
      </c>
      <c r="P554" s="13">
        <v>0</v>
      </c>
      <c r="Q554" s="31">
        <f t="shared" si="5"/>
        <v>573.72</v>
      </c>
    </row>
    <row r="555" spans="1:17" ht="15" x14ac:dyDescent="0.2">
      <c r="A555" s="28"/>
      <c r="B555" s="28"/>
      <c r="C555" s="28"/>
      <c r="D555" s="60"/>
      <c r="E555" s="67"/>
      <c r="F555" s="28"/>
      <c r="G555" s="28"/>
      <c r="H555" s="28"/>
      <c r="I555" s="67"/>
      <c r="J555" s="28"/>
      <c r="K555" s="77"/>
      <c r="L555" s="28"/>
      <c r="M555" s="28"/>
      <c r="N555" s="28"/>
      <c r="O555" s="28"/>
      <c r="P555" s="28"/>
      <c r="Q555" s="31">
        <f t="shared" si="5"/>
        <v>0</v>
      </c>
    </row>
    <row r="556" spans="1:17" ht="15" x14ac:dyDescent="0.2">
      <c r="A556" s="28"/>
      <c r="B556" s="28"/>
      <c r="C556" s="28"/>
      <c r="D556" s="60"/>
      <c r="E556" s="67"/>
      <c r="F556" s="28"/>
      <c r="G556" s="28"/>
      <c r="H556" s="28"/>
      <c r="I556" s="67"/>
      <c r="J556" s="28"/>
      <c r="K556" s="77"/>
      <c r="L556" s="28"/>
      <c r="M556" s="28"/>
      <c r="N556" s="28"/>
      <c r="O556" s="28"/>
      <c r="P556" s="28"/>
      <c r="Q556" s="31">
        <f t="shared" si="5"/>
        <v>0</v>
      </c>
    </row>
    <row r="557" spans="1:17" ht="15.75" outlineLevel="2" x14ac:dyDescent="0.2">
      <c r="A557" s="30">
        <v>120100</v>
      </c>
      <c r="B557" s="28"/>
      <c r="C557" s="30">
        <v>925362</v>
      </c>
      <c r="D557" s="37" t="s">
        <v>27</v>
      </c>
      <c r="E557" s="67"/>
      <c r="F557" s="13" t="s">
        <v>9</v>
      </c>
      <c r="G557" s="13">
        <v>0</v>
      </c>
      <c r="H557" s="13">
        <v>0</v>
      </c>
      <c r="I557" s="57">
        <v>0</v>
      </c>
      <c r="J557" s="13"/>
      <c r="K557" s="77"/>
      <c r="L557" s="13" t="s">
        <v>9</v>
      </c>
      <c r="M557" s="13" t="s">
        <v>9</v>
      </c>
      <c r="N557" s="13">
        <v>0</v>
      </c>
      <c r="O557" s="13">
        <v>0</v>
      </c>
      <c r="P557" s="13">
        <v>0</v>
      </c>
      <c r="Q557" s="31">
        <f t="shared" si="5"/>
        <v>0</v>
      </c>
    </row>
    <row r="558" spans="1:17" ht="90" outlineLevel="2" x14ac:dyDescent="0.2">
      <c r="A558" s="30">
        <v>120101</v>
      </c>
      <c r="B558" s="28"/>
      <c r="C558" s="30">
        <v>920985</v>
      </c>
      <c r="D558" s="59" t="s">
        <v>202</v>
      </c>
      <c r="E558" s="57" t="s">
        <v>15</v>
      </c>
      <c r="F558" s="13">
        <v>139.09</v>
      </c>
      <c r="G558" s="13">
        <v>9</v>
      </c>
      <c r="H558" s="13">
        <v>0</v>
      </c>
      <c r="I558" s="57">
        <v>9</v>
      </c>
      <c r="J558" s="13"/>
      <c r="K558" s="77"/>
      <c r="L558" s="13">
        <v>12.74</v>
      </c>
      <c r="M558" s="13">
        <v>1772</v>
      </c>
      <c r="N558" s="13">
        <v>114.66</v>
      </c>
      <c r="O558" s="13">
        <v>0</v>
      </c>
      <c r="P558" s="13">
        <v>114.66</v>
      </c>
      <c r="Q558" s="31">
        <f t="shared" si="5"/>
        <v>12.74</v>
      </c>
    </row>
    <row r="559" spans="1:17" ht="75" outlineLevel="2" x14ac:dyDescent="0.2">
      <c r="A559" s="30">
        <v>120102</v>
      </c>
      <c r="B559" s="28"/>
      <c r="C559" s="30">
        <v>920573</v>
      </c>
      <c r="D559" s="59" t="s">
        <v>203</v>
      </c>
      <c r="E559" s="57" t="s">
        <v>15</v>
      </c>
      <c r="F559" s="13">
        <v>124.1</v>
      </c>
      <c r="G559" s="13">
        <v>9</v>
      </c>
      <c r="H559" s="13">
        <v>0</v>
      </c>
      <c r="I559" s="57">
        <v>9</v>
      </c>
      <c r="J559" s="13"/>
      <c r="K559" s="77"/>
      <c r="L559" s="13">
        <v>18.89</v>
      </c>
      <c r="M559" s="13">
        <v>2344.2399999999998</v>
      </c>
      <c r="N559" s="13">
        <v>170.01</v>
      </c>
      <c r="O559" s="13">
        <v>0</v>
      </c>
      <c r="P559" s="13">
        <v>170.01</v>
      </c>
      <c r="Q559" s="31">
        <f t="shared" si="5"/>
        <v>18.89</v>
      </c>
    </row>
    <row r="560" spans="1:17" ht="90" outlineLevel="2" x14ac:dyDescent="0.2">
      <c r="A560" s="30">
        <v>120103</v>
      </c>
      <c r="B560" s="28"/>
      <c r="C560" s="30">
        <v>922487</v>
      </c>
      <c r="D560" s="59" t="s">
        <v>204</v>
      </c>
      <c r="E560" s="57" t="s">
        <v>15</v>
      </c>
      <c r="F560" s="13">
        <v>215.47</v>
      </c>
      <c r="G560" s="13">
        <v>3</v>
      </c>
      <c r="H560" s="13">
        <v>0</v>
      </c>
      <c r="I560" s="57">
        <v>3</v>
      </c>
      <c r="J560" s="13"/>
      <c r="K560" s="77"/>
      <c r="L560" s="13">
        <v>28.39</v>
      </c>
      <c r="M560" s="13">
        <v>6117.19</v>
      </c>
      <c r="N560" s="13">
        <v>85.17</v>
      </c>
      <c r="O560" s="13">
        <v>0</v>
      </c>
      <c r="P560" s="13">
        <v>85.17</v>
      </c>
      <c r="Q560" s="31">
        <f t="shared" si="5"/>
        <v>28.39</v>
      </c>
    </row>
    <row r="561" spans="1:17" ht="90" outlineLevel="2" x14ac:dyDescent="0.2">
      <c r="A561" s="30">
        <v>120104</v>
      </c>
      <c r="B561" s="28"/>
      <c r="C561" s="30">
        <v>925357</v>
      </c>
      <c r="D561" s="59" t="s">
        <v>205</v>
      </c>
      <c r="E561" s="57" t="s">
        <v>15</v>
      </c>
      <c r="F561" s="13">
        <v>98.8</v>
      </c>
      <c r="G561" s="13">
        <v>0</v>
      </c>
      <c r="H561" s="13">
        <v>0</v>
      </c>
      <c r="I561" s="57">
        <v>0</v>
      </c>
      <c r="J561" s="13"/>
      <c r="K561" s="77"/>
      <c r="L561" s="13">
        <v>18.760000000000002</v>
      </c>
      <c r="M561" s="13">
        <v>1853.48</v>
      </c>
      <c r="N561" s="13">
        <v>0</v>
      </c>
      <c r="O561" s="13">
        <v>0</v>
      </c>
      <c r="P561" s="13">
        <v>0</v>
      </c>
      <c r="Q561" s="31">
        <f t="shared" si="5"/>
        <v>18.760000000000002</v>
      </c>
    </row>
    <row r="562" spans="1:17" ht="90" outlineLevel="2" x14ac:dyDescent="0.2">
      <c r="A562" s="30">
        <v>120105</v>
      </c>
      <c r="B562" s="28"/>
      <c r="C562" s="30">
        <v>925363</v>
      </c>
      <c r="D562" s="59" t="s">
        <v>206</v>
      </c>
      <c r="E562" s="57" t="s">
        <v>15</v>
      </c>
      <c r="F562" s="13">
        <v>98.8</v>
      </c>
      <c r="G562" s="13">
        <v>3</v>
      </c>
      <c r="H562" s="13">
        <v>0</v>
      </c>
      <c r="I562" s="57">
        <v>3</v>
      </c>
      <c r="J562" s="13"/>
      <c r="K562" s="77"/>
      <c r="L562" s="13">
        <v>33.83</v>
      </c>
      <c r="M562" s="13">
        <v>3342.4</v>
      </c>
      <c r="N562" s="13">
        <v>101.49</v>
      </c>
      <c r="O562" s="13">
        <v>0</v>
      </c>
      <c r="P562" s="13">
        <v>101.49</v>
      </c>
      <c r="Q562" s="31">
        <f t="shared" si="5"/>
        <v>33.83</v>
      </c>
    </row>
    <row r="563" spans="1:17" ht="120" outlineLevel="2" x14ac:dyDescent="0.2">
      <c r="A563" s="30">
        <v>120106</v>
      </c>
      <c r="B563" s="28"/>
      <c r="C563" s="30">
        <v>925364</v>
      </c>
      <c r="D563" s="59" t="s">
        <v>207</v>
      </c>
      <c r="E563" s="57" t="s">
        <v>20</v>
      </c>
      <c r="F563" s="13">
        <v>1</v>
      </c>
      <c r="G563" s="13">
        <v>0</v>
      </c>
      <c r="H563" s="13">
        <v>0</v>
      </c>
      <c r="I563" s="57">
        <v>0</v>
      </c>
      <c r="J563" s="13"/>
      <c r="K563" s="77"/>
      <c r="L563" s="13">
        <v>1671.25</v>
      </c>
      <c r="M563" s="13">
        <v>1671.25</v>
      </c>
      <c r="N563" s="13">
        <v>0</v>
      </c>
      <c r="O563" s="13">
        <v>0</v>
      </c>
      <c r="P563" s="13">
        <v>0</v>
      </c>
      <c r="Q563" s="31">
        <f t="shared" si="5"/>
        <v>1671.25</v>
      </c>
    </row>
    <row r="564" spans="1:17" ht="60" outlineLevel="2" x14ac:dyDescent="0.2">
      <c r="A564" s="30">
        <v>120107</v>
      </c>
      <c r="B564" s="28"/>
      <c r="C564" s="30">
        <v>925365</v>
      </c>
      <c r="D564" s="59" t="s">
        <v>208</v>
      </c>
      <c r="E564" s="57" t="s">
        <v>20</v>
      </c>
      <c r="F564" s="13">
        <v>2</v>
      </c>
      <c r="G564" s="13">
        <v>0</v>
      </c>
      <c r="H564" s="13">
        <v>0</v>
      </c>
      <c r="I564" s="57">
        <v>0</v>
      </c>
      <c r="J564" s="13"/>
      <c r="K564" s="77"/>
      <c r="L564" s="13">
        <v>12313.72</v>
      </c>
      <c r="M564" s="13">
        <v>24627.439999999999</v>
      </c>
      <c r="N564" s="13">
        <v>0</v>
      </c>
      <c r="O564" s="13">
        <v>0</v>
      </c>
      <c r="P564" s="13">
        <v>0</v>
      </c>
      <c r="Q564" s="31">
        <f t="shared" ref="Q564:Q628" si="6">PRODUCT(K564,L564)</f>
        <v>12313.72</v>
      </c>
    </row>
    <row r="565" spans="1:17" ht="120" outlineLevel="2" x14ac:dyDescent="0.2">
      <c r="A565" s="30">
        <v>120108</v>
      </c>
      <c r="B565" s="28"/>
      <c r="C565" s="30">
        <v>922488</v>
      </c>
      <c r="D565" s="59" t="s">
        <v>209</v>
      </c>
      <c r="E565" s="57" t="s">
        <v>20</v>
      </c>
      <c r="F565" s="13">
        <v>8</v>
      </c>
      <c r="G565" s="13">
        <v>4</v>
      </c>
      <c r="H565" s="13">
        <v>0</v>
      </c>
      <c r="I565" s="57">
        <v>4</v>
      </c>
      <c r="J565" s="13"/>
      <c r="K565" s="77"/>
      <c r="L565" s="13">
        <v>6.19</v>
      </c>
      <c r="M565" s="13">
        <v>49.52</v>
      </c>
      <c r="N565" s="13">
        <v>24.76</v>
      </c>
      <c r="O565" s="13">
        <v>0</v>
      </c>
      <c r="P565" s="13">
        <v>24.76</v>
      </c>
      <c r="Q565" s="31">
        <f t="shared" si="6"/>
        <v>6.19</v>
      </c>
    </row>
    <row r="566" spans="1:17" ht="105" outlineLevel="2" x14ac:dyDescent="0.2">
      <c r="A566" s="30">
        <v>120109</v>
      </c>
      <c r="B566" s="28"/>
      <c r="C566" s="30">
        <v>925366</v>
      </c>
      <c r="D566" s="59" t="s">
        <v>210</v>
      </c>
      <c r="E566" s="57" t="s">
        <v>20</v>
      </c>
      <c r="F566" s="13">
        <v>88</v>
      </c>
      <c r="G566" s="13">
        <v>0</v>
      </c>
      <c r="H566" s="13">
        <v>0</v>
      </c>
      <c r="I566" s="57">
        <v>0</v>
      </c>
      <c r="J566" s="13"/>
      <c r="K566" s="77"/>
      <c r="L566" s="13">
        <v>7.9</v>
      </c>
      <c r="M566" s="13">
        <v>695.2</v>
      </c>
      <c r="N566" s="13">
        <v>0</v>
      </c>
      <c r="O566" s="13">
        <v>0</v>
      </c>
      <c r="P566" s="13">
        <v>0</v>
      </c>
      <c r="Q566" s="31">
        <f t="shared" si="6"/>
        <v>7.9</v>
      </c>
    </row>
    <row r="567" spans="1:17" ht="105" outlineLevel="2" x14ac:dyDescent="0.2">
      <c r="A567" s="30">
        <v>120110</v>
      </c>
      <c r="B567" s="28"/>
      <c r="C567" s="30">
        <v>922318</v>
      </c>
      <c r="D567" s="59" t="s">
        <v>211</v>
      </c>
      <c r="E567" s="57" t="s">
        <v>20</v>
      </c>
      <c r="F567" s="13">
        <v>1</v>
      </c>
      <c r="G567" s="13">
        <v>0</v>
      </c>
      <c r="H567" s="13">
        <v>0</v>
      </c>
      <c r="I567" s="57">
        <v>0</v>
      </c>
      <c r="J567" s="13"/>
      <c r="K567" s="77"/>
      <c r="L567" s="13">
        <v>5.47</v>
      </c>
      <c r="M567" s="13">
        <v>5.47</v>
      </c>
      <c r="N567" s="13">
        <v>0</v>
      </c>
      <c r="O567" s="13">
        <v>0</v>
      </c>
      <c r="P567" s="13">
        <v>0</v>
      </c>
      <c r="Q567" s="31">
        <f t="shared" si="6"/>
        <v>5.47</v>
      </c>
    </row>
    <row r="568" spans="1:17" ht="120" outlineLevel="2" x14ac:dyDescent="0.2">
      <c r="A568" s="30">
        <v>120111</v>
      </c>
      <c r="B568" s="28"/>
      <c r="C568" s="30">
        <v>924928</v>
      </c>
      <c r="D568" s="59" t="s">
        <v>212</v>
      </c>
      <c r="E568" s="57" t="s">
        <v>20</v>
      </c>
      <c r="F568" s="13">
        <v>65</v>
      </c>
      <c r="G568" s="13">
        <v>0</v>
      </c>
      <c r="H568" s="13">
        <v>0</v>
      </c>
      <c r="I568" s="57">
        <v>0</v>
      </c>
      <c r="J568" s="13"/>
      <c r="K568" s="77"/>
      <c r="L568" s="13">
        <v>8.25</v>
      </c>
      <c r="M568" s="13">
        <v>536.25</v>
      </c>
      <c r="N568" s="13">
        <v>0</v>
      </c>
      <c r="O568" s="13">
        <v>0</v>
      </c>
      <c r="P568" s="13">
        <v>0</v>
      </c>
      <c r="Q568" s="31">
        <f t="shared" si="6"/>
        <v>8.25</v>
      </c>
    </row>
    <row r="569" spans="1:17" ht="90" outlineLevel="2" x14ac:dyDescent="0.2">
      <c r="A569" s="30">
        <v>120112</v>
      </c>
      <c r="B569" s="28"/>
      <c r="C569" s="30">
        <v>920575</v>
      </c>
      <c r="D569" s="59" t="s">
        <v>213</v>
      </c>
      <c r="E569" s="57" t="s">
        <v>20</v>
      </c>
      <c r="F569" s="13">
        <v>12</v>
      </c>
      <c r="G569" s="13">
        <v>0</v>
      </c>
      <c r="H569" s="13">
        <v>0</v>
      </c>
      <c r="I569" s="57">
        <v>0</v>
      </c>
      <c r="J569" s="13"/>
      <c r="K569" s="77"/>
      <c r="L569" s="13">
        <v>7.3</v>
      </c>
      <c r="M569" s="13">
        <v>87.6</v>
      </c>
      <c r="N569" s="13">
        <v>0</v>
      </c>
      <c r="O569" s="13">
        <v>0</v>
      </c>
      <c r="P569" s="13">
        <v>0</v>
      </c>
      <c r="Q569" s="31">
        <f t="shared" si="6"/>
        <v>7.3</v>
      </c>
    </row>
    <row r="570" spans="1:17" ht="105" outlineLevel="2" x14ac:dyDescent="0.2">
      <c r="A570" s="30">
        <v>120113</v>
      </c>
      <c r="B570" s="28"/>
      <c r="C570" s="30">
        <v>920577</v>
      </c>
      <c r="D570" s="59" t="s">
        <v>214</v>
      </c>
      <c r="E570" s="57" t="s">
        <v>20</v>
      </c>
      <c r="F570" s="13">
        <v>21</v>
      </c>
      <c r="G570" s="13">
        <v>0</v>
      </c>
      <c r="H570" s="13">
        <v>0</v>
      </c>
      <c r="I570" s="57">
        <v>0</v>
      </c>
      <c r="J570" s="13"/>
      <c r="K570" s="77"/>
      <c r="L570" s="13">
        <v>7.8</v>
      </c>
      <c r="M570" s="13">
        <v>163.80000000000001</v>
      </c>
      <c r="N570" s="13">
        <v>0</v>
      </c>
      <c r="O570" s="13">
        <v>0</v>
      </c>
      <c r="P570" s="13">
        <v>0</v>
      </c>
      <c r="Q570" s="31">
        <f t="shared" si="6"/>
        <v>7.8</v>
      </c>
    </row>
    <row r="571" spans="1:17" ht="105" outlineLevel="2" x14ac:dyDescent="0.2">
      <c r="A571" s="30">
        <v>120114</v>
      </c>
      <c r="B571" s="28"/>
      <c r="C571" s="30">
        <v>925489</v>
      </c>
      <c r="D571" s="59" t="s">
        <v>215</v>
      </c>
      <c r="E571" s="57" t="s">
        <v>20</v>
      </c>
      <c r="F571" s="13">
        <v>9</v>
      </c>
      <c r="G571" s="13">
        <v>0</v>
      </c>
      <c r="H571" s="13">
        <v>0</v>
      </c>
      <c r="I571" s="57">
        <v>0</v>
      </c>
      <c r="J571" s="13"/>
      <c r="K571" s="77"/>
      <c r="L571" s="13">
        <v>9.66</v>
      </c>
      <c r="M571" s="13">
        <v>86.94</v>
      </c>
      <c r="N571" s="13">
        <v>0</v>
      </c>
      <c r="O571" s="13">
        <v>0</v>
      </c>
      <c r="P571" s="13">
        <v>0</v>
      </c>
      <c r="Q571" s="31">
        <f t="shared" si="6"/>
        <v>9.66</v>
      </c>
    </row>
    <row r="572" spans="1:17" ht="120" outlineLevel="2" x14ac:dyDescent="0.2">
      <c r="A572" s="30">
        <v>120115</v>
      </c>
      <c r="B572" s="28"/>
      <c r="C572" s="30">
        <v>925367</v>
      </c>
      <c r="D572" s="59" t="s">
        <v>216</v>
      </c>
      <c r="E572" s="57" t="s">
        <v>20</v>
      </c>
      <c r="F572" s="13">
        <v>11</v>
      </c>
      <c r="G572" s="13">
        <v>0</v>
      </c>
      <c r="H572" s="13">
        <v>0</v>
      </c>
      <c r="I572" s="57">
        <v>0</v>
      </c>
      <c r="J572" s="13"/>
      <c r="K572" s="77"/>
      <c r="L572" s="13">
        <v>21.49</v>
      </c>
      <c r="M572" s="13">
        <v>236.39</v>
      </c>
      <c r="N572" s="13">
        <v>0</v>
      </c>
      <c r="O572" s="13">
        <v>0</v>
      </c>
      <c r="P572" s="13">
        <v>0</v>
      </c>
      <c r="Q572" s="31">
        <f t="shared" si="6"/>
        <v>21.49</v>
      </c>
    </row>
    <row r="573" spans="1:17" ht="90" outlineLevel="2" x14ac:dyDescent="0.2">
      <c r="A573" s="30">
        <v>120116</v>
      </c>
      <c r="B573" s="28"/>
      <c r="C573" s="30">
        <v>923870</v>
      </c>
      <c r="D573" s="59" t="s">
        <v>217</v>
      </c>
      <c r="E573" s="57" t="s">
        <v>20</v>
      </c>
      <c r="F573" s="13">
        <v>12</v>
      </c>
      <c r="G573" s="13">
        <v>4</v>
      </c>
      <c r="H573" s="13">
        <v>0</v>
      </c>
      <c r="I573" s="57">
        <v>4</v>
      </c>
      <c r="J573" s="13"/>
      <c r="K573" s="77"/>
      <c r="L573" s="13">
        <v>14.69</v>
      </c>
      <c r="M573" s="13">
        <v>176.28</v>
      </c>
      <c r="N573" s="13">
        <v>58.76</v>
      </c>
      <c r="O573" s="13">
        <v>0</v>
      </c>
      <c r="P573" s="13">
        <v>58.76</v>
      </c>
      <c r="Q573" s="31">
        <f t="shared" si="6"/>
        <v>14.69</v>
      </c>
    </row>
    <row r="574" spans="1:17" ht="90" outlineLevel="2" x14ac:dyDescent="0.2">
      <c r="A574" s="30">
        <v>120117</v>
      </c>
      <c r="B574" s="28"/>
      <c r="C574" s="30">
        <v>924171</v>
      </c>
      <c r="D574" s="59" t="s">
        <v>218</v>
      </c>
      <c r="E574" s="57" t="s">
        <v>20</v>
      </c>
      <c r="F574" s="13">
        <v>4</v>
      </c>
      <c r="G574" s="13">
        <v>1</v>
      </c>
      <c r="H574" s="13">
        <v>0</v>
      </c>
      <c r="I574" s="57">
        <v>1</v>
      </c>
      <c r="J574" s="13"/>
      <c r="K574" s="77"/>
      <c r="L574" s="13">
        <v>9.77</v>
      </c>
      <c r="M574" s="13">
        <v>39.08</v>
      </c>
      <c r="N574" s="13">
        <v>9.77</v>
      </c>
      <c r="O574" s="13">
        <v>0</v>
      </c>
      <c r="P574" s="13">
        <v>9.77</v>
      </c>
      <c r="Q574" s="31">
        <f t="shared" si="6"/>
        <v>9.77</v>
      </c>
    </row>
    <row r="575" spans="1:17" ht="90" outlineLevel="2" x14ac:dyDescent="0.2">
      <c r="A575" s="30">
        <v>120118</v>
      </c>
      <c r="B575" s="28"/>
      <c r="C575" s="30">
        <v>925368</v>
      </c>
      <c r="D575" s="59" t="s">
        <v>219</v>
      </c>
      <c r="E575" s="57" t="s">
        <v>20</v>
      </c>
      <c r="F575" s="13">
        <v>4</v>
      </c>
      <c r="G575" s="13">
        <v>0</v>
      </c>
      <c r="H575" s="13">
        <v>0</v>
      </c>
      <c r="I575" s="57">
        <v>0</v>
      </c>
      <c r="J575" s="13"/>
      <c r="K575" s="77"/>
      <c r="L575" s="13">
        <v>21.63</v>
      </c>
      <c r="M575" s="13">
        <v>86.52</v>
      </c>
      <c r="N575" s="13">
        <v>0</v>
      </c>
      <c r="O575" s="13">
        <v>0</v>
      </c>
      <c r="P575" s="13">
        <v>0</v>
      </c>
      <c r="Q575" s="31">
        <f t="shared" si="6"/>
        <v>21.63</v>
      </c>
    </row>
    <row r="576" spans="1:17" ht="120" outlineLevel="2" x14ac:dyDescent="0.2">
      <c r="A576" s="30">
        <v>120119</v>
      </c>
      <c r="B576" s="28"/>
      <c r="C576" s="30">
        <v>925369</v>
      </c>
      <c r="D576" s="59" t="s">
        <v>220</v>
      </c>
      <c r="E576" s="57" t="s">
        <v>20</v>
      </c>
      <c r="F576" s="13">
        <v>6</v>
      </c>
      <c r="G576" s="13">
        <v>0</v>
      </c>
      <c r="H576" s="13">
        <v>0</v>
      </c>
      <c r="I576" s="57">
        <v>0</v>
      </c>
      <c r="J576" s="13"/>
      <c r="K576" s="77"/>
      <c r="L576" s="13">
        <v>9.73</v>
      </c>
      <c r="M576" s="13">
        <v>58.38</v>
      </c>
      <c r="N576" s="13">
        <v>0</v>
      </c>
      <c r="O576" s="13">
        <v>0</v>
      </c>
      <c r="P576" s="13">
        <v>0</v>
      </c>
      <c r="Q576" s="31">
        <f t="shared" si="6"/>
        <v>9.73</v>
      </c>
    </row>
    <row r="577" spans="1:17" ht="120" outlineLevel="2" x14ac:dyDescent="0.2">
      <c r="A577" s="30">
        <v>120120</v>
      </c>
      <c r="B577" s="28"/>
      <c r="C577" s="30">
        <v>925370</v>
      </c>
      <c r="D577" s="59" t="s">
        <v>221</v>
      </c>
      <c r="E577" s="57" t="s">
        <v>20</v>
      </c>
      <c r="F577" s="13">
        <v>9</v>
      </c>
      <c r="G577" s="13">
        <v>0</v>
      </c>
      <c r="H577" s="13">
        <v>0</v>
      </c>
      <c r="I577" s="57">
        <v>0</v>
      </c>
      <c r="J577" s="13"/>
      <c r="K577" s="77"/>
      <c r="L577" s="13">
        <v>8.99</v>
      </c>
      <c r="M577" s="13">
        <v>80.91</v>
      </c>
      <c r="N577" s="13">
        <v>0</v>
      </c>
      <c r="O577" s="13">
        <v>0</v>
      </c>
      <c r="P577" s="13">
        <v>0</v>
      </c>
      <c r="Q577" s="31">
        <f t="shared" si="6"/>
        <v>8.99</v>
      </c>
    </row>
    <row r="578" spans="1:17" ht="120" outlineLevel="2" x14ac:dyDescent="0.2">
      <c r="A578" s="30">
        <v>120121</v>
      </c>
      <c r="B578" s="28"/>
      <c r="C578" s="30">
        <v>925371</v>
      </c>
      <c r="D578" s="59" t="s">
        <v>222</v>
      </c>
      <c r="E578" s="57" t="s">
        <v>20</v>
      </c>
      <c r="F578" s="13">
        <v>4</v>
      </c>
      <c r="G578" s="13">
        <v>0</v>
      </c>
      <c r="H578" s="13">
        <v>0</v>
      </c>
      <c r="I578" s="57">
        <v>0</v>
      </c>
      <c r="J578" s="13"/>
      <c r="K578" s="77"/>
      <c r="L578" s="13">
        <v>18.309999999999999</v>
      </c>
      <c r="M578" s="13">
        <v>73.239999999999995</v>
      </c>
      <c r="N578" s="13">
        <v>0</v>
      </c>
      <c r="O578" s="13">
        <v>0</v>
      </c>
      <c r="P578" s="13">
        <v>0</v>
      </c>
      <c r="Q578" s="31">
        <f t="shared" si="6"/>
        <v>18.309999999999999</v>
      </c>
    </row>
    <row r="579" spans="1:17" ht="45" outlineLevel="2" x14ac:dyDescent="0.2">
      <c r="A579" s="30">
        <v>120122</v>
      </c>
      <c r="B579" s="28"/>
      <c r="C579" s="30">
        <v>925372</v>
      </c>
      <c r="D579" s="59" t="s">
        <v>223</v>
      </c>
      <c r="E579" s="57" t="s">
        <v>20</v>
      </c>
      <c r="F579" s="13">
        <v>14</v>
      </c>
      <c r="G579" s="13">
        <v>0</v>
      </c>
      <c r="H579" s="13">
        <v>0</v>
      </c>
      <c r="I579" s="57">
        <v>0</v>
      </c>
      <c r="J579" s="13"/>
      <c r="K579" s="77"/>
      <c r="L579" s="13">
        <v>26.78</v>
      </c>
      <c r="M579" s="13">
        <v>374.92</v>
      </c>
      <c r="N579" s="13">
        <v>0</v>
      </c>
      <c r="O579" s="13">
        <v>0</v>
      </c>
      <c r="P579" s="13">
        <v>0</v>
      </c>
      <c r="Q579" s="31">
        <f t="shared" si="6"/>
        <v>26.78</v>
      </c>
    </row>
    <row r="580" spans="1:17" ht="120" outlineLevel="2" x14ac:dyDescent="0.2">
      <c r="A580" s="30">
        <v>120123</v>
      </c>
      <c r="B580" s="28"/>
      <c r="C580" s="30">
        <v>925373</v>
      </c>
      <c r="D580" s="59" t="s">
        <v>224</v>
      </c>
      <c r="E580" s="57" t="s">
        <v>20</v>
      </c>
      <c r="F580" s="13">
        <v>12</v>
      </c>
      <c r="G580" s="13">
        <v>0</v>
      </c>
      <c r="H580" s="13">
        <v>0</v>
      </c>
      <c r="I580" s="57">
        <v>0</v>
      </c>
      <c r="J580" s="13"/>
      <c r="K580" s="77"/>
      <c r="L580" s="13">
        <v>16.18</v>
      </c>
      <c r="M580" s="13">
        <v>194.16</v>
      </c>
      <c r="N580" s="13">
        <v>0</v>
      </c>
      <c r="O580" s="13">
        <v>0</v>
      </c>
      <c r="P580" s="13">
        <v>0</v>
      </c>
      <c r="Q580" s="31">
        <f t="shared" si="6"/>
        <v>16.18</v>
      </c>
    </row>
    <row r="581" spans="1:17" ht="120" outlineLevel="2" x14ac:dyDescent="0.2">
      <c r="A581" s="30">
        <v>120124</v>
      </c>
      <c r="B581" s="28"/>
      <c r="C581" s="30">
        <v>925374</v>
      </c>
      <c r="D581" s="59" t="s">
        <v>225</v>
      </c>
      <c r="E581" s="57" t="s">
        <v>20</v>
      </c>
      <c r="F581" s="13">
        <v>12</v>
      </c>
      <c r="G581" s="13">
        <v>0</v>
      </c>
      <c r="H581" s="13">
        <v>0</v>
      </c>
      <c r="I581" s="57">
        <v>0</v>
      </c>
      <c r="J581" s="13"/>
      <c r="K581" s="77"/>
      <c r="L581" s="13">
        <v>16.13</v>
      </c>
      <c r="M581" s="13">
        <v>193.56</v>
      </c>
      <c r="N581" s="13">
        <v>0</v>
      </c>
      <c r="O581" s="13">
        <v>0</v>
      </c>
      <c r="P581" s="13">
        <v>0</v>
      </c>
      <c r="Q581" s="31">
        <f t="shared" si="6"/>
        <v>16.13</v>
      </c>
    </row>
    <row r="582" spans="1:17" ht="105" outlineLevel="2" x14ac:dyDescent="0.2">
      <c r="A582" s="30">
        <v>120125</v>
      </c>
      <c r="B582" s="28"/>
      <c r="C582" s="30">
        <v>925375</v>
      </c>
      <c r="D582" s="59" t="s">
        <v>226</v>
      </c>
      <c r="E582" s="57" t="s">
        <v>20</v>
      </c>
      <c r="F582" s="13">
        <v>19</v>
      </c>
      <c r="G582" s="13">
        <v>2</v>
      </c>
      <c r="H582" s="13">
        <v>2</v>
      </c>
      <c r="I582" s="57">
        <v>4</v>
      </c>
      <c r="J582" s="13"/>
      <c r="K582" s="77"/>
      <c r="L582" s="13">
        <v>8.08</v>
      </c>
      <c r="M582" s="13">
        <v>153.52000000000001</v>
      </c>
      <c r="N582" s="13">
        <v>16.16</v>
      </c>
      <c r="O582" s="13">
        <v>16.16</v>
      </c>
      <c r="P582" s="13">
        <v>32.32</v>
      </c>
      <c r="Q582" s="31">
        <f t="shared" si="6"/>
        <v>8.08</v>
      </c>
    </row>
    <row r="583" spans="1:17" ht="90" outlineLevel="2" x14ac:dyDescent="0.2">
      <c r="A583" s="30">
        <v>120126</v>
      </c>
      <c r="B583" s="28"/>
      <c r="C583" s="30">
        <v>922682</v>
      </c>
      <c r="D583" s="59" t="s">
        <v>227</v>
      </c>
      <c r="E583" s="57" t="s">
        <v>20</v>
      </c>
      <c r="F583" s="13">
        <v>1</v>
      </c>
      <c r="G583" s="13">
        <v>0</v>
      </c>
      <c r="H583" s="13">
        <v>0</v>
      </c>
      <c r="I583" s="57">
        <v>0</v>
      </c>
      <c r="J583" s="13"/>
      <c r="K583" s="77"/>
      <c r="L583" s="13">
        <v>8.25</v>
      </c>
      <c r="M583" s="13">
        <v>8.25</v>
      </c>
      <c r="N583" s="13">
        <v>0</v>
      </c>
      <c r="O583" s="13">
        <v>0</v>
      </c>
      <c r="P583" s="13">
        <v>0</v>
      </c>
      <c r="Q583" s="31">
        <f t="shared" si="6"/>
        <v>8.25</v>
      </c>
    </row>
    <row r="584" spans="1:17" ht="60" outlineLevel="2" x14ac:dyDescent="0.2">
      <c r="A584" s="30">
        <v>120127</v>
      </c>
      <c r="B584" s="28"/>
      <c r="C584" s="30">
        <v>925376</v>
      </c>
      <c r="D584" s="59" t="s">
        <v>228</v>
      </c>
      <c r="E584" s="57" t="s">
        <v>20</v>
      </c>
      <c r="F584" s="13">
        <v>9</v>
      </c>
      <c r="G584" s="13">
        <v>0</v>
      </c>
      <c r="H584" s="13">
        <v>0</v>
      </c>
      <c r="I584" s="57">
        <v>0</v>
      </c>
      <c r="J584" s="13"/>
      <c r="K584" s="77"/>
      <c r="L584" s="13">
        <v>1577.59</v>
      </c>
      <c r="M584" s="13">
        <v>14198.31</v>
      </c>
      <c r="N584" s="13">
        <v>0</v>
      </c>
      <c r="O584" s="13">
        <v>0</v>
      </c>
      <c r="P584" s="13">
        <v>0</v>
      </c>
      <c r="Q584" s="31">
        <f t="shared" si="6"/>
        <v>1577.59</v>
      </c>
    </row>
    <row r="585" spans="1:17" ht="165" outlineLevel="2" x14ac:dyDescent="0.2">
      <c r="A585" s="30">
        <v>120128</v>
      </c>
      <c r="B585" s="28"/>
      <c r="C585" s="30">
        <v>925377</v>
      </c>
      <c r="D585" s="59" t="s">
        <v>229</v>
      </c>
      <c r="E585" s="57" t="s">
        <v>20</v>
      </c>
      <c r="F585" s="13">
        <v>13</v>
      </c>
      <c r="G585" s="13">
        <v>0</v>
      </c>
      <c r="H585" s="13">
        <v>0</v>
      </c>
      <c r="I585" s="57">
        <v>0</v>
      </c>
      <c r="J585" s="13"/>
      <c r="K585" s="77"/>
      <c r="L585" s="13">
        <v>138.79</v>
      </c>
      <c r="M585" s="13">
        <v>1804.27</v>
      </c>
      <c r="N585" s="13">
        <v>0</v>
      </c>
      <c r="O585" s="13">
        <v>0</v>
      </c>
      <c r="P585" s="13">
        <v>0</v>
      </c>
      <c r="Q585" s="31">
        <f t="shared" si="6"/>
        <v>138.79</v>
      </c>
    </row>
    <row r="586" spans="1:17" ht="15" x14ac:dyDescent="0.2">
      <c r="A586" s="28"/>
      <c r="B586" s="28"/>
      <c r="C586" s="28"/>
      <c r="D586" s="60"/>
      <c r="E586" s="67"/>
      <c r="F586" s="28"/>
      <c r="G586" s="28"/>
      <c r="H586" s="28"/>
      <c r="I586" s="67"/>
      <c r="J586" s="28"/>
      <c r="K586" s="77"/>
      <c r="L586" s="28"/>
      <c r="M586" s="28"/>
      <c r="N586" s="28"/>
      <c r="O586" s="28"/>
      <c r="P586" s="28"/>
      <c r="Q586" s="31">
        <f t="shared" si="6"/>
        <v>0</v>
      </c>
    </row>
    <row r="587" spans="1:17" ht="15" x14ac:dyDescent="0.2">
      <c r="A587" s="28"/>
      <c r="B587" s="28"/>
      <c r="C587" s="28"/>
      <c r="D587" s="60"/>
      <c r="E587" s="67"/>
      <c r="F587" s="28"/>
      <c r="G587" s="28"/>
      <c r="H587" s="28"/>
      <c r="I587" s="67"/>
      <c r="J587" s="28"/>
      <c r="K587" s="77"/>
      <c r="L587" s="28"/>
      <c r="M587" s="28"/>
      <c r="N587" s="28"/>
      <c r="O587" s="28"/>
      <c r="P587" s="28"/>
      <c r="Q587" s="31">
        <f t="shared" si="6"/>
        <v>0</v>
      </c>
    </row>
    <row r="588" spans="1:17" ht="31.5" outlineLevel="2" x14ac:dyDescent="0.2">
      <c r="A588" s="30">
        <v>130100</v>
      </c>
      <c r="B588" s="28"/>
      <c r="C588" s="30">
        <v>925073</v>
      </c>
      <c r="D588" s="37" t="s">
        <v>28</v>
      </c>
      <c r="E588" s="67"/>
      <c r="F588" s="13" t="s">
        <v>9</v>
      </c>
      <c r="G588" s="13">
        <v>0</v>
      </c>
      <c r="H588" s="13">
        <v>0</v>
      </c>
      <c r="I588" s="57">
        <v>0</v>
      </c>
      <c r="J588" s="13"/>
      <c r="K588" s="77"/>
      <c r="L588" s="13" t="s">
        <v>9</v>
      </c>
      <c r="M588" s="13" t="s">
        <v>9</v>
      </c>
      <c r="N588" s="13">
        <v>0</v>
      </c>
      <c r="O588" s="13">
        <v>0</v>
      </c>
      <c r="P588" s="13">
        <v>0</v>
      </c>
      <c r="Q588" s="31">
        <f t="shared" si="6"/>
        <v>0</v>
      </c>
    </row>
    <row r="589" spans="1:17" ht="60" outlineLevel="2" x14ac:dyDescent="0.2">
      <c r="A589" s="30">
        <v>130101</v>
      </c>
      <c r="B589" s="28"/>
      <c r="C589" s="30">
        <v>920529</v>
      </c>
      <c r="D589" s="59" t="s">
        <v>230</v>
      </c>
      <c r="E589" s="57" t="s">
        <v>10</v>
      </c>
      <c r="F589" s="13">
        <v>9.6</v>
      </c>
      <c r="G589" s="13">
        <v>0</v>
      </c>
      <c r="H589" s="13">
        <v>0</v>
      </c>
      <c r="I589" s="57">
        <v>0</v>
      </c>
      <c r="J589" s="13"/>
      <c r="K589" s="77"/>
      <c r="L589" s="13">
        <v>331.57</v>
      </c>
      <c r="M589" s="13">
        <v>3183.07</v>
      </c>
      <c r="N589" s="13">
        <v>0</v>
      </c>
      <c r="O589" s="13">
        <v>0</v>
      </c>
      <c r="P589" s="13">
        <v>0</v>
      </c>
      <c r="Q589" s="31">
        <f t="shared" si="6"/>
        <v>331.57</v>
      </c>
    </row>
    <row r="590" spans="1:17" ht="75" outlineLevel="2" x14ac:dyDescent="0.2">
      <c r="A590" s="30">
        <v>130102</v>
      </c>
      <c r="B590" s="28"/>
      <c r="C590" s="30">
        <v>922376</v>
      </c>
      <c r="D590" s="59" t="s">
        <v>231</v>
      </c>
      <c r="E590" s="57" t="s">
        <v>20</v>
      </c>
      <c r="F590" s="13">
        <v>21</v>
      </c>
      <c r="G590" s="13">
        <v>0</v>
      </c>
      <c r="H590" s="13">
        <v>0</v>
      </c>
      <c r="I590" s="57">
        <v>0</v>
      </c>
      <c r="J590" s="13"/>
      <c r="K590" s="77"/>
      <c r="L590" s="13">
        <v>53.75</v>
      </c>
      <c r="M590" s="13">
        <v>1128.75</v>
      </c>
      <c r="N590" s="13">
        <v>0</v>
      </c>
      <c r="O590" s="13">
        <v>0</v>
      </c>
      <c r="P590" s="13">
        <v>0</v>
      </c>
      <c r="Q590" s="31">
        <f t="shared" si="6"/>
        <v>53.75</v>
      </c>
    </row>
    <row r="591" spans="1:17" ht="60" outlineLevel="2" x14ac:dyDescent="0.2">
      <c r="A591" s="30">
        <v>130103</v>
      </c>
      <c r="B591" s="28"/>
      <c r="C591" s="30">
        <v>923171</v>
      </c>
      <c r="D591" s="59" t="s">
        <v>232</v>
      </c>
      <c r="E591" s="57" t="s">
        <v>20</v>
      </c>
      <c r="F591" s="13">
        <v>16</v>
      </c>
      <c r="G591" s="13">
        <v>0</v>
      </c>
      <c r="H591" s="13">
        <v>0</v>
      </c>
      <c r="I591" s="57">
        <v>0</v>
      </c>
      <c r="J591" s="13"/>
      <c r="K591" s="77"/>
      <c r="L591" s="13">
        <v>34.93</v>
      </c>
      <c r="M591" s="13">
        <v>558.88</v>
      </c>
      <c r="N591" s="13">
        <v>0</v>
      </c>
      <c r="O591" s="13">
        <v>0</v>
      </c>
      <c r="P591" s="13">
        <v>0</v>
      </c>
      <c r="Q591" s="31">
        <f t="shared" si="6"/>
        <v>34.93</v>
      </c>
    </row>
    <row r="592" spans="1:17" ht="105" outlineLevel="2" x14ac:dyDescent="0.2">
      <c r="A592" s="30">
        <v>130104</v>
      </c>
      <c r="B592" s="28"/>
      <c r="C592" s="30">
        <v>923452</v>
      </c>
      <c r="D592" s="59" t="s">
        <v>233</v>
      </c>
      <c r="E592" s="57" t="s">
        <v>20</v>
      </c>
      <c r="F592" s="13">
        <v>4</v>
      </c>
      <c r="G592" s="13">
        <v>0</v>
      </c>
      <c r="H592" s="13">
        <v>0</v>
      </c>
      <c r="I592" s="57">
        <v>0</v>
      </c>
      <c r="J592" s="13"/>
      <c r="K592" s="77"/>
      <c r="L592" s="13">
        <v>154.43</v>
      </c>
      <c r="M592" s="13">
        <v>617.72</v>
      </c>
      <c r="N592" s="13">
        <v>0</v>
      </c>
      <c r="O592" s="13">
        <v>0</v>
      </c>
      <c r="P592" s="13">
        <v>0</v>
      </c>
      <c r="Q592" s="31">
        <f t="shared" si="6"/>
        <v>154.43</v>
      </c>
    </row>
    <row r="593" spans="1:17" ht="135" outlineLevel="2" x14ac:dyDescent="0.2">
      <c r="A593" s="30">
        <v>130105</v>
      </c>
      <c r="B593" s="28"/>
      <c r="C593" s="30">
        <v>925378</v>
      </c>
      <c r="D593" s="59" t="s">
        <v>234</v>
      </c>
      <c r="E593" s="57" t="s">
        <v>20</v>
      </c>
      <c r="F593" s="13">
        <v>3</v>
      </c>
      <c r="G593" s="13">
        <v>0</v>
      </c>
      <c r="H593" s="13">
        <v>0</v>
      </c>
      <c r="I593" s="57">
        <v>0</v>
      </c>
      <c r="J593" s="13"/>
      <c r="K593" s="77"/>
      <c r="L593" s="13">
        <v>249.14</v>
      </c>
      <c r="M593" s="13">
        <v>747.42</v>
      </c>
      <c r="N593" s="13">
        <v>0</v>
      </c>
      <c r="O593" s="13">
        <v>0</v>
      </c>
      <c r="P593" s="13">
        <v>0</v>
      </c>
      <c r="Q593" s="31">
        <f t="shared" si="6"/>
        <v>249.14</v>
      </c>
    </row>
    <row r="594" spans="1:17" ht="75" outlineLevel="2" x14ac:dyDescent="0.2">
      <c r="A594" s="30">
        <v>130106</v>
      </c>
      <c r="B594" s="28"/>
      <c r="C594" s="30">
        <v>925379</v>
      </c>
      <c r="D594" s="59" t="s">
        <v>235</v>
      </c>
      <c r="E594" s="57" t="s">
        <v>20</v>
      </c>
      <c r="F594" s="13">
        <v>14</v>
      </c>
      <c r="G594" s="13">
        <v>0</v>
      </c>
      <c r="H594" s="13">
        <v>0</v>
      </c>
      <c r="I594" s="57">
        <v>0</v>
      </c>
      <c r="J594" s="13"/>
      <c r="K594" s="77"/>
      <c r="L594" s="13">
        <v>143.80000000000001</v>
      </c>
      <c r="M594" s="13">
        <v>2013.2</v>
      </c>
      <c r="N594" s="13">
        <v>0</v>
      </c>
      <c r="O594" s="13">
        <v>0</v>
      </c>
      <c r="P594" s="13">
        <v>0</v>
      </c>
      <c r="Q594" s="31">
        <f t="shared" si="6"/>
        <v>143.80000000000001</v>
      </c>
    </row>
    <row r="595" spans="1:17" ht="90" outlineLevel="2" x14ac:dyDescent="0.2">
      <c r="A595" s="30">
        <v>130107</v>
      </c>
      <c r="B595" s="28"/>
      <c r="C595" s="30">
        <v>924259</v>
      </c>
      <c r="D595" s="59" t="s">
        <v>236</v>
      </c>
      <c r="E595" s="57" t="s">
        <v>20</v>
      </c>
      <c r="F595" s="13">
        <v>8</v>
      </c>
      <c r="G595" s="13">
        <v>0</v>
      </c>
      <c r="H595" s="13">
        <v>0</v>
      </c>
      <c r="I595" s="57">
        <v>0</v>
      </c>
      <c r="J595" s="13"/>
      <c r="K595" s="77"/>
      <c r="L595" s="13">
        <v>716.31</v>
      </c>
      <c r="M595" s="13">
        <v>5730.48</v>
      </c>
      <c r="N595" s="13">
        <v>0</v>
      </c>
      <c r="O595" s="13">
        <v>0</v>
      </c>
      <c r="P595" s="13">
        <v>0</v>
      </c>
      <c r="Q595" s="31">
        <f t="shared" si="6"/>
        <v>716.31</v>
      </c>
    </row>
    <row r="596" spans="1:17" ht="75" outlineLevel="2" x14ac:dyDescent="0.2">
      <c r="A596" s="30">
        <v>130108</v>
      </c>
      <c r="B596" s="28"/>
      <c r="C596" s="30">
        <v>925380</v>
      </c>
      <c r="D596" s="59" t="s">
        <v>237</v>
      </c>
      <c r="E596" s="57" t="s">
        <v>20</v>
      </c>
      <c r="F596" s="13">
        <v>13</v>
      </c>
      <c r="G596" s="13">
        <v>0</v>
      </c>
      <c r="H596" s="13">
        <v>0</v>
      </c>
      <c r="I596" s="57">
        <v>0</v>
      </c>
      <c r="J596" s="13"/>
      <c r="K596" s="77"/>
      <c r="L596" s="13">
        <v>50.02</v>
      </c>
      <c r="M596" s="13">
        <v>650.26</v>
      </c>
      <c r="N596" s="13">
        <v>0</v>
      </c>
      <c r="O596" s="13">
        <v>0</v>
      </c>
      <c r="P596" s="13">
        <v>0</v>
      </c>
      <c r="Q596" s="31">
        <f t="shared" si="6"/>
        <v>50.02</v>
      </c>
    </row>
    <row r="597" spans="1:17" ht="75" outlineLevel="2" x14ac:dyDescent="0.2">
      <c r="A597" s="30">
        <v>130109</v>
      </c>
      <c r="B597" s="28"/>
      <c r="C597" s="30">
        <v>925390</v>
      </c>
      <c r="D597" s="59" t="s">
        <v>238</v>
      </c>
      <c r="E597" s="57" t="s">
        <v>20</v>
      </c>
      <c r="F597" s="13">
        <v>4</v>
      </c>
      <c r="G597" s="13">
        <v>0</v>
      </c>
      <c r="H597" s="13">
        <v>0</v>
      </c>
      <c r="I597" s="57">
        <v>0</v>
      </c>
      <c r="J597" s="13"/>
      <c r="K597" s="77"/>
      <c r="L597" s="13">
        <v>135.18</v>
      </c>
      <c r="M597" s="13">
        <v>540.72</v>
      </c>
      <c r="N597" s="13">
        <v>0</v>
      </c>
      <c r="O597" s="13">
        <v>0</v>
      </c>
      <c r="P597" s="13">
        <v>0</v>
      </c>
      <c r="Q597" s="31">
        <f t="shared" si="6"/>
        <v>135.18</v>
      </c>
    </row>
    <row r="598" spans="1:17" ht="165" outlineLevel="2" x14ac:dyDescent="0.2">
      <c r="A598" s="30">
        <v>130110</v>
      </c>
      <c r="B598" s="28"/>
      <c r="C598" s="30">
        <v>922107</v>
      </c>
      <c r="D598" s="59" t="s">
        <v>239</v>
      </c>
      <c r="E598" s="57" t="s">
        <v>20</v>
      </c>
      <c r="F598" s="13">
        <v>1</v>
      </c>
      <c r="G598" s="13">
        <v>0</v>
      </c>
      <c r="H598" s="13">
        <v>0</v>
      </c>
      <c r="I598" s="57">
        <v>0</v>
      </c>
      <c r="J598" s="13"/>
      <c r="K598" s="77"/>
      <c r="L598" s="13">
        <v>723.51</v>
      </c>
      <c r="M598" s="13">
        <v>723.51</v>
      </c>
      <c r="N598" s="13">
        <v>0</v>
      </c>
      <c r="O598" s="13">
        <v>0</v>
      </c>
      <c r="P598" s="13">
        <v>0</v>
      </c>
      <c r="Q598" s="31">
        <f t="shared" si="6"/>
        <v>723.51</v>
      </c>
    </row>
    <row r="599" spans="1:17" ht="105" outlineLevel="2" x14ac:dyDescent="0.2">
      <c r="A599" s="30">
        <v>130111</v>
      </c>
      <c r="B599" s="28"/>
      <c r="C599" s="30">
        <v>920581</v>
      </c>
      <c r="D599" s="59" t="s">
        <v>240</v>
      </c>
      <c r="E599" s="57" t="s">
        <v>20</v>
      </c>
      <c r="F599" s="13">
        <v>11</v>
      </c>
      <c r="G599" s="13">
        <v>0</v>
      </c>
      <c r="H599" s="13">
        <v>0</v>
      </c>
      <c r="I599" s="57">
        <v>0</v>
      </c>
      <c r="J599" s="13"/>
      <c r="K599" s="77"/>
      <c r="L599" s="13">
        <v>192.15</v>
      </c>
      <c r="M599" s="13">
        <v>2113.65</v>
      </c>
      <c r="N599" s="13">
        <v>0</v>
      </c>
      <c r="O599" s="13">
        <v>0</v>
      </c>
      <c r="P599" s="13">
        <v>0</v>
      </c>
      <c r="Q599" s="31">
        <f t="shared" si="6"/>
        <v>192.15</v>
      </c>
    </row>
    <row r="600" spans="1:17" ht="75" outlineLevel="2" x14ac:dyDescent="0.2">
      <c r="A600" s="30">
        <v>130112</v>
      </c>
      <c r="B600" s="28"/>
      <c r="C600" s="30">
        <v>925391</v>
      </c>
      <c r="D600" s="59" t="s">
        <v>241</v>
      </c>
      <c r="E600" s="57" t="s">
        <v>20</v>
      </c>
      <c r="F600" s="13">
        <v>1</v>
      </c>
      <c r="G600" s="13">
        <v>0</v>
      </c>
      <c r="H600" s="13">
        <v>0</v>
      </c>
      <c r="I600" s="57">
        <v>0</v>
      </c>
      <c r="J600" s="13"/>
      <c r="K600" s="77"/>
      <c r="L600" s="13">
        <v>329.87</v>
      </c>
      <c r="M600" s="13">
        <v>329.87</v>
      </c>
      <c r="N600" s="13">
        <v>0</v>
      </c>
      <c r="O600" s="13">
        <v>0</v>
      </c>
      <c r="P600" s="13">
        <v>0</v>
      </c>
      <c r="Q600" s="31">
        <f t="shared" si="6"/>
        <v>329.87</v>
      </c>
    </row>
    <row r="601" spans="1:17" ht="75" outlineLevel="2" x14ac:dyDescent="0.2">
      <c r="A601" s="30">
        <v>130113</v>
      </c>
      <c r="B601" s="28"/>
      <c r="C601" s="30">
        <v>922377</v>
      </c>
      <c r="D601" s="59" t="s">
        <v>159</v>
      </c>
      <c r="E601" s="57" t="s">
        <v>20</v>
      </c>
      <c r="F601" s="13">
        <v>1</v>
      </c>
      <c r="G601" s="13">
        <v>0</v>
      </c>
      <c r="H601" s="13">
        <v>0</v>
      </c>
      <c r="I601" s="57">
        <v>0</v>
      </c>
      <c r="J601" s="13"/>
      <c r="K601" s="77"/>
      <c r="L601" s="13">
        <v>34.159999999999997</v>
      </c>
      <c r="M601" s="13">
        <v>34.159999999999997</v>
      </c>
      <c r="N601" s="13">
        <v>0</v>
      </c>
      <c r="O601" s="13">
        <v>0</v>
      </c>
      <c r="P601" s="13">
        <v>0</v>
      </c>
      <c r="Q601" s="31">
        <f t="shared" si="6"/>
        <v>34.159999999999997</v>
      </c>
    </row>
    <row r="602" spans="1:17" ht="75" outlineLevel="2" x14ac:dyDescent="0.2">
      <c r="A602" s="30">
        <v>130114</v>
      </c>
      <c r="B602" s="28"/>
      <c r="C602" s="30">
        <v>925392</v>
      </c>
      <c r="D602" s="59" t="s">
        <v>242</v>
      </c>
      <c r="E602" s="57" t="s">
        <v>10</v>
      </c>
      <c r="F602" s="13">
        <v>0.75</v>
      </c>
      <c r="G602" s="13">
        <v>0</v>
      </c>
      <c r="H602" s="13">
        <v>0</v>
      </c>
      <c r="I602" s="57">
        <v>0</v>
      </c>
      <c r="J602" s="13"/>
      <c r="K602" s="77"/>
      <c r="L602" s="13">
        <v>593.37</v>
      </c>
      <c r="M602" s="13">
        <v>445.02</v>
      </c>
      <c r="N602" s="13">
        <v>0</v>
      </c>
      <c r="O602" s="13">
        <v>0</v>
      </c>
      <c r="P602" s="13">
        <v>0</v>
      </c>
      <c r="Q602" s="31">
        <f t="shared" si="6"/>
        <v>593.37</v>
      </c>
    </row>
    <row r="603" spans="1:17" ht="60" outlineLevel="2" x14ac:dyDescent="0.2">
      <c r="A603" s="30">
        <v>130115</v>
      </c>
      <c r="B603" s="28"/>
      <c r="C603" s="30">
        <v>659180</v>
      </c>
      <c r="D603" s="59" t="s">
        <v>243</v>
      </c>
      <c r="E603" s="57" t="s">
        <v>20</v>
      </c>
      <c r="F603" s="13">
        <v>9</v>
      </c>
      <c r="G603" s="13">
        <v>0</v>
      </c>
      <c r="H603" s="13">
        <v>0</v>
      </c>
      <c r="I603" s="57">
        <v>0</v>
      </c>
      <c r="J603" s="13"/>
      <c r="K603" s="77"/>
      <c r="L603" s="13">
        <v>58.87</v>
      </c>
      <c r="M603" s="13">
        <v>529.83000000000004</v>
      </c>
      <c r="N603" s="13">
        <v>0</v>
      </c>
      <c r="O603" s="13">
        <v>0</v>
      </c>
      <c r="P603" s="13">
        <v>0</v>
      </c>
      <c r="Q603" s="31">
        <f t="shared" si="6"/>
        <v>58.87</v>
      </c>
    </row>
    <row r="604" spans="1:17" ht="90" outlineLevel="2" x14ac:dyDescent="0.2">
      <c r="A604" s="30">
        <v>130116</v>
      </c>
      <c r="B604" s="28"/>
      <c r="C604" s="30">
        <v>922675</v>
      </c>
      <c r="D604" s="59" t="s">
        <v>244</v>
      </c>
      <c r="E604" s="57" t="s">
        <v>20</v>
      </c>
      <c r="F604" s="13">
        <v>9</v>
      </c>
      <c r="G604" s="13">
        <v>0</v>
      </c>
      <c r="H604" s="13">
        <v>0</v>
      </c>
      <c r="I604" s="57">
        <v>0</v>
      </c>
      <c r="J604" s="13"/>
      <c r="K604" s="77"/>
      <c r="L604" s="13">
        <v>52.65</v>
      </c>
      <c r="M604" s="13">
        <v>473.85</v>
      </c>
      <c r="N604" s="13">
        <v>0</v>
      </c>
      <c r="O604" s="13">
        <v>0</v>
      </c>
      <c r="P604" s="13">
        <v>0</v>
      </c>
      <c r="Q604" s="31">
        <f t="shared" si="6"/>
        <v>52.65</v>
      </c>
    </row>
    <row r="605" spans="1:17" ht="75" outlineLevel="2" x14ac:dyDescent="0.2">
      <c r="A605" s="30">
        <v>130117</v>
      </c>
      <c r="B605" s="28"/>
      <c r="C605" s="30">
        <v>925393</v>
      </c>
      <c r="D605" s="59" t="s">
        <v>245</v>
      </c>
      <c r="E605" s="57" t="s">
        <v>20</v>
      </c>
      <c r="F605" s="13">
        <v>15</v>
      </c>
      <c r="G605" s="13">
        <v>0</v>
      </c>
      <c r="H605" s="13">
        <v>0</v>
      </c>
      <c r="I605" s="57">
        <v>0</v>
      </c>
      <c r="J605" s="13"/>
      <c r="K605" s="77"/>
      <c r="L605" s="13">
        <v>27.42</v>
      </c>
      <c r="M605" s="13">
        <v>411.3</v>
      </c>
      <c r="N605" s="13">
        <v>0</v>
      </c>
      <c r="O605" s="13">
        <v>0</v>
      </c>
      <c r="P605" s="13">
        <v>0</v>
      </c>
      <c r="Q605" s="31">
        <f t="shared" si="6"/>
        <v>27.42</v>
      </c>
    </row>
    <row r="606" spans="1:17" ht="15" outlineLevel="2" x14ac:dyDescent="0.2">
      <c r="A606" s="30"/>
      <c r="B606" s="28"/>
      <c r="C606" s="30"/>
      <c r="D606" s="59"/>
      <c r="E606" s="57"/>
      <c r="F606" s="13"/>
      <c r="G606" s="13"/>
      <c r="H606" s="13"/>
      <c r="I606" s="57"/>
      <c r="J606" s="13"/>
      <c r="K606" s="78"/>
      <c r="L606" s="13"/>
      <c r="M606" s="13"/>
      <c r="N606" s="13"/>
      <c r="O606" s="13"/>
      <c r="P606" s="13"/>
      <c r="Q606" s="31"/>
    </row>
    <row r="607" spans="1:17" ht="105" outlineLevel="2" x14ac:dyDescent="0.25">
      <c r="A607" s="30">
        <v>130118</v>
      </c>
      <c r="B607" s="28"/>
      <c r="C607" s="30">
        <v>925394</v>
      </c>
      <c r="D607" s="59" t="s">
        <v>246</v>
      </c>
      <c r="E607" s="57" t="s">
        <v>10</v>
      </c>
      <c r="F607" s="13">
        <v>6.6</v>
      </c>
      <c r="G607" s="13">
        <v>0</v>
      </c>
      <c r="H607" s="13">
        <v>0</v>
      </c>
      <c r="I607" s="57">
        <v>0</v>
      </c>
      <c r="J607" s="13"/>
      <c r="K607" s="35"/>
      <c r="L607" s="13">
        <v>119.41</v>
      </c>
      <c r="M607" s="13">
        <v>788.1</v>
      </c>
      <c r="N607" s="13">
        <v>0</v>
      </c>
      <c r="O607" s="13">
        <v>0</v>
      </c>
      <c r="P607" s="13">
        <v>0</v>
      </c>
      <c r="Q607" s="31">
        <f t="shared" si="6"/>
        <v>119.41</v>
      </c>
    </row>
    <row r="608" spans="1:17" ht="315" outlineLevel="2" x14ac:dyDescent="0.2">
      <c r="A608" s="30">
        <v>130119</v>
      </c>
      <c r="B608" s="28"/>
      <c r="C608" s="30">
        <v>923552</v>
      </c>
      <c r="D608" s="61" t="s">
        <v>724</v>
      </c>
      <c r="E608" s="59" t="s">
        <v>10</v>
      </c>
      <c r="F608" s="32"/>
      <c r="G608" s="32">
        <v>0</v>
      </c>
      <c r="H608" s="32">
        <v>0</v>
      </c>
      <c r="I608" s="59">
        <f>(((5.59+4.79)*0.8)/2)+(5.59*6.55)+(1.56*6.55)+(1.2*7.35)+(((2+1.35)*0.65)/2)+(1*7.35*2+1.37*6.55 )+(6.55*9.49+(((8+7.21)*0.8)/2)+(((2+1.35)*0.65)/2))</f>
        <v>153.899</v>
      </c>
      <c r="J608" s="14" t="s">
        <v>750</v>
      </c>
      <c r="K608" s="37" t="s">
        <v>597</v>
      </c>
      <c r="L608" s="13">
        <v>30.74</v>
      </c>
      <c r="M608" s="13">
        <v>2058.35</v>
      </c>
      <c r="N608" s="13">
        <v>0</v>
      </c>
      <c r="O608" s="13">
        <v>0</v>
      </c>
      <c r="P608" s="13">
        <v>0</v>
      </c>
      <c r="Q608" s="31">
        <f t="shared" si="6"/>
        <v>30.74</v>
      </c>
    </row>
    <row r="609" spans="1:17" ht="75" outlineLevel="2" x14ac:dyDescent="0.2">
      <c r="A609" s="30">
        <v>130120</v>
      </c>
      <c r="B609" s="28"/>
      <c r="C609" s="30">
        <v>925395</v>
      </c>
      <c r="D609" s="59" t="s">
        <v>248</v>
      </c>
      <c r="E609" s="57" t="s">
        <v>20</v>
      </c>
      <c r="F609" s="13">
        <v>6</v>
      </c>
      <c r="G609" s="13">
        <v>0</v>
      </c>
      <c r="H609" s="13">
        <v>0</v>
      </c>
      <c r="I609" s="57">
        <v>0</v>
      </c>
      <c r="J609" s="13"/>
      <c r="K609" s="13">
        <v>6</v>
      </c>
      <c r="L609" s="13">
        <v>2133.09</v>
      </c>
      <c r="M609" s="13">
        <v>12798.54</v>
      </c>
      <c r="N609" s="13">
        <v>0</v>
      </c>
      <c r="O609" s="13">
        <v>0</v>
      </c>
      <c r="P609" s="13">
        <v>0</v>
      </c>
      <c r="Q609" s="31">
        <f t="shared" si="6"/>
        <v>12798.54</v>
      </c>
    </row>
    <row r="610" spans="1:17" ht="75" outlineLevel="2" x14ac:dyDescent="0.2">
      <c r="A610" s="30">
        <v>130121</v>
      </c>
      <c r="B610" s="28"/>
      <c r="C610" s="30">
        <v>925396</v>
      </c>
      <c r="D610" s="59" t="s">
        <v>249</v>
      </c>
      <c r="E610" s="57" t="s">
        <v>20</v>
      </c>
      <c r="F610" s="13">
        <v>6</v>
      </c>
      <c r="G610" s="13">
        <v>0</v>
      </c>
      <c r="H610" s="13">
        <v>0</v>
      </c>
      <c r="I610" s="57">
        <v>0</v>
      </c>
      <c r="J610" s="13"/>
      <c r="K610" s="13">
        <v>6</v>
      </c>
      <c r="L610" s="13">
        <v>545.13</v>
      </c>
      <c r="M610" s="13">
        <v>3270.78</v>
      </c>
      <c r="N610" s="13">
        <v>0</v>
      </c>
      <c r="O610" s="13">
        <v>0</v>
      </c>
      <c r="P610" s="13">
        <v>0</v>
      </c>
      <c r="Q610" s="31">
        <f t="shared" si="6"/>
        <v>3270.7799999999997</v>
      </c>
    </row>
    <row r="611" spans="1:17" ht="105" outlineLevel="2" x14ac:dyDescent="0.2">
      <c r="A611" s="30">
        <v>130122</v>
      </c>
      <c r="B611" s="28"/>
      <c r="C611" s="30">
        <v>922668</v>
      </c>
      <c r="D611" s="59" t="s">
        <v>250</v>
      </c>
      <c r="E611" s="57" t="s">
        <v>10</v>
      </c>
      <c r="F611" s="13">
        <v>48.38</v>
      </c>
      <c r="G611" s="13">
        <v>0</v>
      </c>
      <c r="H611" s="13">
        <v>0</v>
      </c>
      <c r="I611" s="57">
        <v>0</v>
      </c>
      <c r="J611" s="13"/>
      <c r="K611" s="13">
        <v>48.38</v>
      </c>
      <c r="L611" s="13">
        <v>709.38</v>
      </c>
      <c r="M611" s="13">
        <v>34319.800000000003</v>
      </c>
      <c r="N611" s="13">
        <v>0</v>
      </c>
      <c r="O611" s="13">
        <v>0</v>
      </c>
      <c r="P611" s="13">
        <v>0</v>
      </c>
      <c r="Q611" s="31">
        <f t="shared" si="6"/>
        <v>34319.804400000001</v>
      </c>
    </row>
    <row r="612" spans="1:17" ht="90" outlineLevel="2" x14ac:dyDescent="0.2">
      <c r="A612" s="30">
        <v>130123</v>
      </c>
      <c r="B612" s="28"/>
      <c r="C612" s="30">
        <v>920898</v>
      </c>
      <c r="D612" s="59" t="s">
        <v>251</v>
      </c>
      <c r="E612" s="57" t="s">
        <v>15</v>
      </c>
      <c r="F612" s="13">
        <v>4.8</v>
      </c>
      <c r="G612" s="13">
        <v>0</v>
      </c>
      <c r="H612" s="13">
        <v>0</v>
      </c>
      <c r="I612" s="57">
        <v>0</v>
      </c>
      <c r="J612" s="13"/>
      <c r="K612" s="13">
        <v>4.8</v>
      </c>
      <c r="L612" s="13">
        <v>68.459999999999994</v>
      </c>
      <c r="M612" s="13">
        <v>328.6</v>
      </c>
      <c r="N612" s="13">
        <v>0</v>
      </c>
      <c r="O612" s="13">
        <v>0</v>
      </c>
      <c r="P612" s="13">
        <v>0</v>
      </c>
      <c r="Q612" s="31">
        <f t="shared" si="6"/>
        <v>328.60799999999995</v>
      </c>
    </row>
    <row r="613" spans="1:17" ht="60" outlineLevel="2" x14ac:dyDescent="0.2">
      <c r="A613" s="30">
        <v>130124</v>
      </c>
      <c r="B613" s="28"/>
      <c r="C613" s="30">
        <v>925397</v>
      </c>
      <c r="D613" s="59" t="s">
        <v>252</v>
      </c>
      <c r="E613" s="57" t="s">
        <v>20</v>
      </c>
      <c r="F613" s="13">
        <v>12</v>
      </c>
      <c r="G613" s="13">
        <v>0</v>
      </c>
      <c r="H613" s="13">
        <v>0</v>
      </c>
      <c r="I613" s="57">
        <v>0</v>
      </c>
      <c r="J613" s="13"/>
      <c r="K613" s="13">
        <v>12</v>
      </c>
      <c r="L613" s="13">
        <v>59.56</v>
      </c>
      <c r="M613" s="13">
        <v>714.72</v>
      </c>
      <c r="N613" s="13">
        <v>0</v>
      </c>
      <c r="O613" s="13">
        <v>0</v>
      </c>
      <c r="P613" s="13">
        <v>0</v>
      </c>
      <c r="Q613" s="31">
        <f t="shared" si="6"/>
        <v>714.72</v>
      </c>
    </row>
    <row r="614" spans="1:17" ht="60" outlineLevel="2" x14ac:dyDescent="0.2">
      <c r="A614" s="30">
        <v>130125</v>
      </c>
      <c r="B614" s="28"/>
      <c r="C614" s="30">
        <v>925398</v>
      </c>
      <c r="D614" s="59" t="s">
        <v>253</v>
      </c>
      <c r="E614" s="57" t="s">
        <v>20</v>
      </c>
      <c r="F614" s="13">
        <v>6</v>
      </c>
      <c r="G614" s="13">
        <v>0</v>
      </c>
      <c r="H614" s="13">
        <v>0</v>
      </c>
      <c r="I614" s="57">
        <v>0</v>
      </c>
      <c r="J614" s="13"/>
      <c r="K614" s="13">
        <v>6</v>
      </c>
      <c r="L614" s="13">
        <v>89.17</v>
      </c>
      <c r="M614" s="13">
        <v>535.02</v>
      </c>
      <c r="N614" s="13">
        <v>0</v>
      </c>
      <c r="O614" s="13">
        <v>0</v>
      </c>
      <c r="P614" s="13">
        <v>0</v>
      </c>
      <c r="Q614" s="31">
        <f t="shared" si="6"/>
        <v>535.02</v>
      </c>
    </row>
    <row r="615" spans="1:17" ht="90" outlineLevel="2" x14ac:dyDescent="0.2">
      <c r="A615" s="30">
        <v>130126</v>
      </c>
      <c r="B615" s="28"/>
      <c r="C615" s="30">
        <v>921961</v>
      </c>
      <c r="D615" s="59" t="s">
        <v>122</v>
      </c>
      <c r="E615" s="57" t="s">
        <v>10</v>
      </c>
      <c r="F615" s="13">
        <v>33.479999999999997</v>
      </c>
      <c r="G615" s="13">
        <v>0</v>
      </c>
      <c r="H615" s="13">
        <v>0</v>
      </c>
      <c r="I615" s="57">
        <v>0</v>
      </c>
      <c r="J615" s="13"/>
      <c r="K615" s="13">
        <v>33.479999999999997</v>
      </c>
      <c r="L615" s="13">
        <v>34.4</v>
      </c>
      <c r="M615" s="13">
        <v>1151.71</v>
      </c>
      <c r="N615" s="13">
        <v>0</v>
      </c>
      <c r="O615" s="13">
        <v>0</v>
      </c>
      <c r="P615" s="13">
        <v>0</v>
      </c>
      <c r="Q615" s="31">
        <f t="shared" si="6"/>
        <v>1151.7119999999998</v>
      </c>
    </row>
    <row r="616" spans="1:17" ht="120" outlineLevel="2" x14ac:dyDescent="0.2">
      <c r="A616" s="30">
        <v>130127</v>
      </c>
      <c r="B616" s="28"/>
      <c r="C616" s="30">
        <v>920526</v>
      </c>
      <c r="D616" s="59" t="s">
        <v>254</v>
      </c>
      <c r="E616" s="57" t="s">
        <v>10</v>
      </c>
      <c r="F616" s="13">
        <v>59.4</v>
      </c>
      <c r="G616" s="13">
        <v>0</v>
      </c>
      <c r="H616" s="13">
        <v>0</v>
      </c>
      <c r="I616" s="57">
        <v>0</v>
      </c>
      <c r="J616" s="13"/>
      <c r="K616" s="13">
        <v>59.4</v>
      </c>
      <c r="L616" s="13">
        <v>44.77</v>
      </c>
      <c r="M616" s="13">
        <v>2659.33</v>
      </c>
      <c r="N616" s="13">
        <v>0</v>
      </c>
      <c r="O616" s="13">
        <v>0</v>
      </c>
      <c r="P616" s="13">
        <v>0</v>
      </c>
      <c r="Q616" s="31">
        <f t="shared" si="6"/>
        <v>2659.3380000000002</v>
      </c>
    </row>
    <row r="617" spans="1:17" ht="75" outlineLevel="2" x14ac:dyDescent="0.2">
      <c r="A617" s="30">
        <v>130128</v>
      </c>
      <c r="B617" s="28"/>
      <c r="C617" s="30">
        <v>922117</v>
      </c>
      <c r="D617" s="59" t="s">
        <v>128</v>
      </c>
      <c r="E617" s="57" t="s">
        <v>10</v>
      </c>
      <c r="F617" s="13">
        <v>40.68</v>
      </c>
      <c r="G617" s="13">
        <v>0</v>
      </c>
      <c r="H617" s="13">
        <v>0</v>
      </c>
      <c r="I617" s="57">
        <v>0</v>
      </c>
      <c r="J617" s="13"/>
      <c r="K617" s="13">
        <v>40.68</v>
      </c>
      <c r="L617" s="13">
        <v>10.46</v>
      </c>
      <c r="M617" s="13">
        <v>425.51</v>
      </c>
      <c r="N617" s="13">
        <v>0</v>
      </c>
      <c r="O617" s="13">
        <v>0</v>
      </c>
      <c r="P617" s="13">
        <v>0</v>
      </c>
      <c r="Q617" s="31">
        <f t="shared" si="6"/>
        <v>425.51280000000003</v>
      </c>
    </row>
    <row r="618" spans="1:17" ht="120" outlineLevel="2" x14ac:dyDescent="0.2">
      <c r="A618" s="30">
        <v>130129</v>
      </c>
      <c r="B618" s="28"/>
      <c r="C618" s="30">
        <v>659158</v>
      </c>
      <c r="D618" s="59" t="s">
        <v>255</v>
      </c>
      <c r="E618" s="57" t="s">
        <v>20</v>
      </c>
      <c r="F618" s="13">
        <v>6</v>
      </c>
      <c r="G618" s="13">
        <v>0</v>
      </c>
      <c r="H618" s="13">
        <v>0</v>
      </c>
      <c r="I618" s="57">
        <v>0</v>
      </c>
      <c r="J618" s="13"/>
      <c r="K618" s="13">
        <v>6</v>
      </c>
      <c r="L618" s="13">
        <v>496.1</v>
      </c>
      <c r="M618" s="13">
        <v>2976.6</v>
      </c>
      <c r="N618" s="13">
        <v>0</v>
      </c>
      <c r="O618" s="13">
        <v>0</v>
      </c>
      <c r="P618" s="13">
        <v>0</v>
      </c>
      <c r="Q618" s="31">
        <f t="shared" si="6"/>
        <v>2976.6000000000004</v>
      </c>
    </row>
    <row r="619" spans="1:17" ht="60" outlineLevel="2" x14ac:dyDescent="0.2">
      <c r="A619" s="30">
        <v>130130</v>
      </c>
      <c r="B619" s="28"/>
      <c r="C619" s="30">
        <v>925399</v>
      </c>
      <c r="D619" s="59" t="s">
        <v>256</v>
      </c>
      <c r="E619" s="57" t="s">
        <v>20</v>
      </c>
      <c r="F619" s="13">
        <v>2</v>
      </c>
      <c r="G619" s="13">
        <v>0</v>
      </c>
      <c r="H619" s="13">
        <v>0</v>
      </c>
      <c r="I619" s="57">
        <v>0</v>
      </c>
      <c r="J619" s="13"/>
      <c r="K619" s="13">
        <v>2</v>
      </c>
      <c r="L619" s="13">
        <v>578.65</v>
      </c>
      <c r="M619" s="13">
        <v>1157.3</v>
      </c>
      <c r="N619" s="13">
        <v>0</v>
      </c>
      <c r="O619" s="13">
        <v>0</v>
      </c>
      <c r="P619" s="13">
        <v>0</v>
      </c>
      <c r="Q619" s="31">
        <f t="shared" si="6"/>
        <v>1157.3</v>
      </c>
    </row>
    <row r="620" spans="1:17" ht="75" outlineLevel="2" x14ac:dyDescent="0.2">
      <c r="A620" s="30">
        <v>130131</v>
      </c>
      <c r="B620" s="28"/>
      <c r="C620" s="30">
        <v>925400</v>
      </c>
      <c r="D620" s="59" t="s">
        <v>257</v>
      </c>
      <c r="E620" s="57" t="s">
        <v>20</v>
      </c>
      <c r="F620" s="13">
        <v>2</v>
      </c>
      <c r="G620" s="13">
        <v>0</v>
      </c>
      <c r="H620" s="13">
        <v>0</v>
      </c>
      <c r="I620" s="57">
        <v>0</v>
      </c>
      <c r="J620" s="13"/>
      <c r="K620" s="13">
        <v>2</v>
      </c>
      <c r="L620" s="13">
        <v>621.57000000000005</v>
      </c>
      <c r="M620" s="13">
        <v>1243.1400000000001</v>
      </c>
      <c r="N620" s="13">
        <v>0</v>
      </c>
      <c r="O620" s="13">
        <v>0</v>
      </c>
      <c r="P620" s="13">
        <v>0</v>
      </c>
      <c r="Q620" s="31">
        <f t="shared" si="6"/>
        <v>1243.1400000000001</v>
      </c>
    </row>
    <row r="621" spans="1:17" ht="75" outlineLevel="2" x14ac:dyDescent="0.2">
      <c r="A621" s="30">
        <v>130132</v>
      </c>
      <c r="B621" s="28"/>
      <c r="C621" s="30">
        <v>925401</v>
      </c>
      <c r="D621" s="59" t="s">
        <v>258</v>
      </c>
      <c r="E621" s="57" t="s">
        <v>20</v>
      </c>
      <c r="F621" s="13">
        <v>2</v>
      </c>
      <c r="G621" s="13">
        <v>0</v>
      </c>
      <c r="H621" s="13">
        <v>0</v>
      </c>
      <c r="I621" s="57">
        <v>0</v>
      </c>
      <c r="J621" s="13"/>
      <c r="K621" s="13">
        <v>2</v>
      </c>
      <c r="L621" s="13">
        <v>271.19</v>
      </c>
      <c r="M621" s="13">
        <v>542.38</v>
      </c>
      <c r="N621" s="13">
        <v>0</v>
      </c>
      <c r="O621" s="13">
        <v>0</v>
      </c>
      <c r="P621" s="13">
        <v>0</v>
      </c>
      <c r="Q621" s="31">
        <f t="shared" si="6"/>
        <v>542.38</v>
      </c>
    </row>
    <row r="622" spans="1:17" ht="15" x14ac:dyDescent="0.2">
      <c r="A622" s="28"/>
      <c r="B622" s="28"/>
      <c r="C622" s="28"/>
      <c r="D622" s="60"/>
      <c r="E622" s="67"/>
      <c r="F622" s="28"/>
      <c r="G622" s="28"/>
      <c r="H622" s="28"/>
      <c r="I622" s="67"/>
      <c r="J622" s="28"/>
      <c r="K622" s="28"/>
      <c r="L622" s="28"/>
      <c r="M622" s="28"/>
      <c r="N622" s="28"/>
      <c r="O622" s="28"/>
      <c r="P622" s="28"/>
      <c r="Q622" s="31">
        <f t="shared" si="6"/>
        <v>0</v>
      </c>
    </row>
    <row r="623" spans="1:17" ht="15" x14ac:dyDescent="0.2">
      <c r="A623" s="28"/>
      <c r="B623" s="28"/>
      <c r="C623" s="28"/>
      <c r="D623" s="60"/>
      <c r="E623" s="67"/>
      <c r="F623" s="28"/>
      <c r="G623" s="28"/>
      <c r="H623" s="28"/>
      <c r="I623" s="67"/>
      <c r="J623" s="28"/>
      <c r="K623" s="28"/>
      <c r="L623" s="28"/>
      <c r="M623" s="28"/>
      <c r="N623" s="28"/>
      <c r="O623" s="28"/>
      <c r="P623" s="28"/>
      <c r="Q623" s="31">
        <f t="shared" si="6"/>
        <v>0</v>
      </c>
    </row>
    <row r="624" spans="1:17" ht="15.75" outlineLevel="2" x14ac:dyDescent="0.2">
      <c r="A624" s="30">
        <v>140100</v>
      </c>
      <c r="B624" s="28"/>
      <c r="C624" s="30">
        <v>740440</v>
      </c>
      <c r="D624" s="37" t="s">
        <v>29</v>
      </c>
      <c r="E624" s="67"/>
      <c r="F624" s="13" t="s">
        <v>9</v>
      </c>
      <c r="G624" s="13">
        <v>0</v>
      </c>
      <c r="H624" s="13">
        <v>0</v>
      </c>
      <c r="I624" s="57">
        <v>0</v>
      </c>
      <c r="J624" s="13"/>
      <c r="K624" s="13">
        <v>0</v>
      </c>
      <c r="L624" s="13" t="s">
        <v>9</v>
      </c>
      <c r="M624" s="13" t="s">
        <v>9</v>
      </c>
      <c r="N624" s="13">
        <v>0</v>
      </c>
      <c r="O624" s="13">
        <v>0</v>
      </c>
      <c r="P624" s="13">
        <v>0</v>
      </c>
      <c r="Q624" s="31">
        <f t="shared" si="6"/>
        <v>0</v>
      </c>
    </row>
    <row r="625" spans="1:17" ht="150" outlineLevel="2" x14ac:dyDescent="0.2">
      <c r="A625" s="30">
        <v>140101</v>
      </c>
      <c r="B625" s="28"/>
      <c r="C625" s="30">
        <v>925402</v>
      </c>
      <c r="D625" s="59" t="s">
        <v>259</v>
      </c>
      <c r="E625" s="57" t="s">
        <v>20</v>
      </c>
      <c r="F625" s="13">
        <v>1</v>
      </c>
      <c r="G625" s="13">
        <v>0</v>
      </c>
      <c r="H625" s="13">
        <v>0</v>
      </c>
      <c r="I625" s="57">
        <v>0</v>
      </c>
      <c r="J625" s="13"/>
      <c r="K625" s="13">
        <v>1</v>
      </c>
      <c r="L625" s="13">
        <v>28680.52</v>
      </c>
      <c r="M625" s="13">
        <v>28680.52</v>
      </c>
      <c r="N625" s="13">
        <v>0</v>
      </c>
      <c r="O625" s="13">
        <v>0</v>
      </c>
      <c r="P625" s="13">
        <v>0</v>
      </c>
      <c r="Q625" s="31">
        <f t="shared" si="6"/>
        <v>28680.52</v>
      </c>
    </row>
    <row r="626" spans="1:17" ht="135" outlineLevel="2" x14ac:dyDescent="0.2">
      <c r="A626" s="30">
        <v>140102</v>
      </c>
      <c r="B626" s="28"/>
      <c r="C626" s="30">
        <v>948178</v>
      </c>
      <c r="D626" s="59" t="s">
        <v>260</v>
      </c>
      <c r="E626" s="57" t="s">
        <v>20</v>
      </c>
      <c r="F626" s="13">
        <v>14</v>
      </c>
      <c r="G626" s="13">
        <v>3</v>
      </c>
      <c r="H626" s="13">
        <v>0</v>
      </c>
      <c r="I626" s="57">
        <v>3</v>
      </c>
      <c r="J626" s="13"/>
      <c r="K626" s="13">
        <v>11</v>
      </c>
      <c r="L626" s="13">
        <v>437.66</v>
      </c>
      <c r="M626" s="13">
        <v>6127.24</v>
      </c>
      <c r="N626" s="13">
        <v>1312.98</v>
      </c>
      <c r="O626" s="13">
        <v>0</v>
      </c>
      <c r="P626" s="13">
        <v>1312.98</v>
      </c>
      <c r="Q626" s="31">
        <f t="shared" si="6"/>
        <v>4814.26</v>
      </c>
    </row>
    <row r="627" spans="1:17" ht="75" outlineLevel="2" x14ac:dyDescent="0.2">
      <c r="A627" s="30">
        <v>140103</v>
      </c>
      <c r="B627" s="28"/>
      <c r="C627" s="30">
        <v>960114</v>
      </c>
      <c r="D627" s="59" t="s">
        <v>261</v>
      </c>
      <c r="E627" s="57" t="s">
        <v>30</v>
      </c>
      <c r="F627" s="13">
        <v>19</v>
      </c>
      <c r="G627" s="13">
        <v>0</v>
      </c>
      <c r="H627" s="13">
        <v>0</v>
      </c>
      <c r="I627" s="57">
        <v>0</v>
      </c>
      <c r="J627" s="13"/>
      <c r="K627" s="13">
        <v>19</v>
      </c>
      <c r="L627" s="13">
        <v>84.24</v>
      </c>
      <c r="M627" s="13">
        <v>1600.56</v>
      </c>
      <c r="N627" s="13">
        <v>0</v>
      </c>
      <c r="O627" s="13">
        <v>0</v>
      </c>
      <c r="P627" s="13">
        <v>0</v>
      </c>
      <c r="Q627" s="31">
        <f t="shared" si="6"/>
        <v>1600.56</v>
      </c>
    </row>
    <row r="628" spans="1:17" ht="75" outlineLevel="2" x14ac:dyDescent="0.2">
      <c r="A628" s="30">
        <v>140104</v>
      </c>
      <c r="B628" s="28"/>
      <c r="C628" s="30">
        <v>659082</v>
      </c>
      <c r="D628" s="59" t="s">
        <v>262</v>
      </c>
      <c r="E628" s="57" t="s">
        <v>20</v>
      </c>
      <c r="F628" s="13">
        <v>4</v>
      </c>
      <c r="G628" s="13">
        <v>0</v>
      </c>
      <c r="H628" s="13">
        <v>0</v>
      </c>
      <c r="I628" s="57">
        <v>0</v>
      </c>
      <c r="J628" s="13"/>
      <c r="K628" s="13">
        <v>4</v>
      </c>
      <c r="L628" s="13">
        <v>113.56</v>
      </c>
      <c r="M628" s="13">
        <v>454.24</v>
      </c>
      <c r="N628" s="13">
        <v>0</v>
      </c>
      <c r="O628" s="13">
        <v>0</v>
      </c>
      <c r="P628" s="13">
        <v>0</v>
      </c>
      <c r="Q628" s="31">
        <f t="shared" si="6"/>
        <v>454.24</v>
      </c>
    </row>
    <row r="629" spans="1:17" ht="75" outlineLevel="2" x14ac:dyDescent="0.2">
      <c r="A629" s="30">
        <v>140105</v>
      </c>
      <c r="B629" s="28"/>
      <c r="C629" s="30">
        <v>659083</v>
      </c>
      <c r="D629" s="59" t="s">
        <v>263</v>
      </c>
      <c r="E629" s="57" t="s">
        <v>20</v>
      </c>
      <c r="F629" s="13">
        <v>1</v>
      </c>
      <c r="G629" s="13">
        <v>0</v>
      </c>
      <c r="H629" s="13">
        <v>0</v>
      </c>
      <c r="I629" s="57">
        <v>0</v>
      </c>
      <c r="J629" s="13"/>
      <c r="K629" s="13">
        <v>1</v>
      </c>
      <c r="L629" s="13">
        <v>328.47</v>
      </c>
      <c r="M629" s="13">
        <v>328.47</v>
      </c>
      <c r="N629" s="13">
        <v>0</v>
      </c>
      <c r="O629" s="13">
        <v>0</v>
      </c>
      <c r="P629" s="13">
        <v>0</v>
      </c>
      <c r="Q629" s="31">
        <f t="shared" ref="Q629:Q692" si="7">PRODUCT(K629,L629)</f>
        <v>328.47</v>
      </c>
    </row>
    <row r="630" spans="1:17" ht="75" outlineLevel="2" x14ac:dyDescent="0.2">
      <c r="A630" s="30">
        <v>140106</v>
      </c>
      <c r="B630" s="28"/>
      <c r="C630" s="30">
        <v>920376</v>
      </c>
      <c r="D630" s="59" t="s">
        <v>264</v>
      </c>
      <c r="E630" s="57" t="s">
        <v>15</v>
      </c>
      <c r="F630" s="13">
        <v>326.05</v>
      </c>
      <c r="G630" s="13">
        <v>0</v>
      </c>
      <c r="H630" s="13">
        <v>0</v>
      </c>
      <c r="I630" s="57">
        <v>0</v>
      </c>
      <c r="J630" s="13"/>
      <c r="K630" s="13">
        <v>326.05</v>
      </c>
      <c r="L630" s="13">
        <v>37.950000000000003</v>
      </c>
      <c r="M630" s="13">
        <v>12373.59</v>
      </c>
      <c r="N630" s="13">
        <v>0</v>
      </c>
      <c r="O630" s="13">
        <v>0</v>
      </c>
      <c r="P630" s="13">
        <v>0</v>
      </c>
      <c r="Q630" s="31">
        <f t="shared" si="7"/>
        <v>12373.597500000002</v>
      </c>
    </row>
    <row r="631" spans="1:17" ht="90" outlineLevel="2" x14ac:dyDescent="0.2">
      <c r="A631" s="30">
        <v>140107</v>
      </c>
      <c r="B631" s="28"/>
      <c r="C631" s="30">
        <v>925403</v>
      </c>
      <c r="D631" s="59" t="s">
        <v>265</v>
      </c>
      <c r="E631" s="57" t="s">
        <v>15</v>
      </c>
      <c r="F631" s="13">
        <v>45.05</v>
      </c>
      <c r="G631" s="13">
        <v>0</v>
      </c>
      <c r="H631" s="13">
        <v>0</v>
      </c>
      <c r="I631" s="57">
        <v>0</v>
      </c>
      <c r="J631" s="13"/>
      <c r="K631" s="13">
        <v>45.05</v>
      </c>
      <c r="L631" s="13">
        <v>14.56</v>
      </c>
      <c r="M631" s="13">
        <v>655.92</v>
      </c>
      <c r="N631" s="13">
        <v>0</v>
      </c>
      <c r="O631" s="13">
        <v>0</v>
      </c>
      <c r="P631" s="13">
        <v>0</v>
      </c>
      <c r="Q631" s="31">
        <f t="shared" si="7"/>
        <v>655.928</v>
      </c>
    </row>
    <row r="632" spans="1:17" ht="90" outlineLevel="2" x14ac:dyDescent="0.2">
      <c r="A632" s="30">
        <v>140108</v>
      </c>
      <c r="B632" s="28"/>
      <c r="C632" s="30">
        <v>920397</v>
      </c>
      <c r="D632" s="59" t="s">
        <v>266</v>
      </c>
      <c r="E632" s="57" t="s">
        <v>15</v>
      </c>
      <c r="F632" s="13">
        <v>406.8</v>
      </c>
      <c r="G632" s="13">
        <v>0</v>
      </c>
      <c r="H632" s="13">
        <v>0</v>
      </c>
      <c r="I632" s="57">
        <v>0</v>
      </c>
      <c r="J632" s="13"/>
      <c r="K632" s="13">
        <v>406.8</v>
      </c>
      <c r="L632" s="13">
        <v>3.66</v>
      </c>
      <c r="M632" s="13">
        <v>1488.88</v>
      </c>
      <c r="N632" s="13">
        <v>0</v>
      </c>
      <c r="O632" s="13">
        <v>0</v>
      </c>
      <c r="P632" s="13">
        <v>0</v>
      </c>
      <c r="Q632" s="31">
        <f t="shared" si="7"/>
        <v>1488.8880000000001</v>
      </c>
    </row>
    <row r="633" spans="1:17" ht="90" outlineLevel="2" x14ac:dyDescent="0.2">
      <c r="A633" s="30">
        <v>140109</v>
      </c>
      <c r="B633" s="28"/>
      <c r="C633" s="30">
        <v>922260</v>
      </c>
      <c r="D633" s="59" t="s">
        <v>267</v>
      </c>
      <c r="E633" s="57" t="s">
        <v>15</v>
      </c>
      <c r="F633" s="13">
        <v>1280.3499999999999</v>
      </c>
      <c r="G633" s="13">
        <v>0</v>
      </c>
      <c r="H633" s="13">
        <v>0</v>
      </c>
      <c r="I633" s="57">
        <v>0</v>
      </c>
      <c r="J633" s="13"/>
      <c r="K633" s="13">
        <v>1280.3499999999999</v>
      </c>
      <c r="L633" s="13">
        <v>8.18</v>
      </c>
      <c r="M633" s="13">
        <v>10473.26</v>
      </c>
      <c r="N633" s="13">
        <v>0</v>
      </c>
      <c r="O633" s="13">
        <v>0</v>
      </c>
      <c r="P633" s="13">
        <v>0</v>
      </c>
      <c r="Q633" s="31">
        <f t="shared" si="7"/>
        <v>10473.262999999999</v>
      </c>
    </row>
    <row r="634" spans="1:17" ht="90" outlineLevel="2" x14ac:dyDescent="0.2">
      <c r="A634" s="30">
        <v>140110</v>
      </c>
      <c r="B634" s="28"/>
      <c r="C634" s="30">
        <v>924932</v>
      </c>
      <c r="D634" s="59" t="s">
        <v>268</v>
      </c>
      <c r="E634" s="57" t="s">
        <v>15</v>
      </c>
      <c r="F634" s="13">
        <v>443.55</v>
      </c>
      <c r="G634" s="13">
        <v>0</v>
      </c>
      <c r="H634" s="13">
        <v>0</v>
      </c>
      <c r="I634" s="57">
        <v>0</v>
      </c>
      <c r="J634" s="13"/>
      <c r="K634" s="13">
        <v>443.55</v>
      </c>
      <c r="L634" s="13">
        <v>12.51</v>
      </c>
      <c r="M634" s="13">
        <v>5548.81</v>
      </c>
      <c r="N634" s="13">
        <v>0</v>
      </c>
      <c r="O634" s="13">
        <v>0</v>
      </c>
      <c r="P634" s="13">
        <v>0</v>
      </c>
      <c r="Q634" s="31">
        <f t="shared" si="7"/>
        <v>5548.8105000000005</v>
      </c>
    </row>
    <row r="635" spans="1:17" ht="60" outlineLevel="2" x14ac:dyDescent="0.2">
      <c r="A635" s="30">
        <v>140111</v>
      </c>
      <c r="B635" s="28"/>
      <c r="C635" s="30">
        <v>920972</v>
      </c>
      <c r="D635" s="59" t="s">
        <v>269</v>
      </c>
      <c r="E635" s="57" t="s">
        <v>15</v>
      </c>
      <c r="F635" s="13">
        <v>388.17</v>
      </c>
      <c r="G635" s="13">
        <v>0</v>
      </c>
      <c r="H635" s="13">
        <v>0</v>
      </c>
      <c r="I635" s="57">
        <v>0</v>
      </c>
      <c r="J635" s="13"/>
      <c r="K635" s="13">
        <v>388.17</v>
      </c>
      <c r="L635" s="13">
        <v>11.21</v>
      </c>
      <c r="M635" s="13">
        <v>4351.38</v>
      </c>
      <c r="N635" s="13">
        <v>0</v>
      </c>
      <c r="O635" s="13">
        <v>0</v>
      </c>
      <c r="P635" s="13">
        <v>0</v>
      </c>
      <c r="Q635" s="31">
        <f t="shared" si="7"/>
        <v>4351.3857000000007</v>
      </c>
    </row>
    <row r="636" spans="1:17" ht="60" outlineLevel="2" x14ac:dyDescent="0.2">
      <c r="A636" s="30">
        <v>140112</v>
      </c>
      <c r="B636" s="28"/>
      <c r="C636" s="30">
        <v>924622</v>
      </c>
      <c r="D636" s="59" t="s">
        <v>270</v>
      </c>
      <c r="E636" s="57" t="s">
        <v>15</v>
      </c>
      <c r="F636" s="13">
        <v>90.34</v>
      </c>
      <c r="G636" s="13">
        <v>0</v>
      </c>
      <c r="H636" s="13">
        <v>0</v>
      </c>
      <c r="I636" s="57">
        <v>0</v>
      </c>
      <c r="J636" s="13"/>
      <c r="K636" s="13">
        <v>90.34</v>
      </c>
      <c r="L636" s="13">
        <v>23.23</v>
      </c>
      <c r="M636" s="13">
        <v>2098.59</v>
      </c>
      <c r="N636" s="13">
        <v>0</v>
      </c>
      <c r="O636" s="13">
        <v>0</v>
      </c>
      <c r="P636" s="13">
        <v>0</v>
      </c>
      <c r="Q636" s="31">
        <f t="shared" si="7"/>
        <v>2098.5981999999999</v>
      </c>
    </row>
    <row r="637" spans="1:17" ht="60" outlineLevel="2" x14ac:dyDescent="0.2">
      <c r="A637" s="30">
        <v>140113</v>
      </c>
      <c r="B637" s="28"/>
      <c r="C637" s="30">
        <v>925404</v>
      </c>
      <c r="D637" s="59" t="s">
        <v>271</v>
      </c>
      <c r="E637" s="57" t="s">
        <v>15</v>
      </c>
      <c r="F637" s="13">
        <v>56.78</v>
      </c>
      <c r="G637" s="13">
        <v>0</v>
      </c>
      <c r="H637" s="13">
        <v>0</v>
      </c>
      <c r="I637" s="57">
        <v>0</v>
      </c>
      <c r="J637" s="13"/>
      <c r="K637" s="13">
        <v>56.78</v>
      </c>
      <c r="L637" s="13">
        <v>43.09</v>
      </c>
      <c r="M637" s="13">
        <v>2446.65</v>
      </c>
      <c r="N637" s="13">
        <v>0</v>
      </c>
      <c r="O637" s="13">
        <v>0</v>
      </c>
      <c r="P637" s="13">
        <v>0</v>
      </c>
      <c r="Q637" s="31">
        <f t="shared" si="7"/>
        <v>2446.6502</v>
      </c>
    </row>
    <row r="638" spans="1:17" ht="60" outlineLevel="2" x14ac:dyDescent="0.2">
      <c r="A638" s="30">
        <v>140114</v>
      </c>
      <c r="B638" s="28"/>
      <c r="C638" s="30">
        <v>925405</v>
      </c>
      <c r="D638" s="59" t="s">
        <v>272</v>
      </c>
      <c r="E638" s="57" t="s">
        <v>20</v>
      </c>
      <c r="F638" s="13">
        <v>35</v>
      </c>
      <c r="G638" s="13">
        <v>0</v>
      </c>
      <c r="H638" s="13">
        <v>0</v>
      </c>
      <c r="I638" s="57">
        <v>0</v>
      </c>
      <c r="J638" s="13"/>
      <c r="K638" s="13">
        <v>35</v>
      </c>
      <c r="L638" s="13">
        <v>232.84</v>
      </c>
      <c r="M638" s="13">
        <v>8149.4</v>
      </c>
      <c r="N638" s="13">
        <v>0</v>
      </c>
      <c r="O638" s="13">
        <v>0</v>
      </c>
      <c r="P638" s="13">
        <v>0</v>
      </c>
      <c r="Q638" s="31">
        <f t="shared" si="7"/>
        <v>8149.4000000000005</v>
      </c>
    </row>
    <row r="639" spans="1:17" ht="135" outlineLevel="2" x14ac:dyDescent="0.2">
      <c r="A639" s="30">
        <v>140115</v>
      </c>
      <c r="B639" s="28"/>
      <c r="C639" s="30">
        <v>925406</v>
      </c>
      <c r="D639" s="59" t="s">
        <v>273</v>
      </c>
      <c r="E639" s="57" t="s">
        <v>31</v>
      </c>
      <c r="F639" s="13">
        <v>40</v>
      </c>
      <c r="G639" s="13">
        <v>0</v>
      </c>
      <c r="H639" s="13">
        <v>0</v>
      </c>
      <c r="I639" s="57">
        <v>0</v>
      </c>
      <c r="J639" s="13"/>
      <c r="K639" s="13">
        <v>40</v>
      </c>
      <c r="L639" s="13">
        <v>1696.09</v>
      </c>
      <c r="M639" s="13">
        <v>67843.600000000006</v>
      </c>
      <c r="N639" s="13">
        <v>0</v>
      </c>
      <c r="O639" s="13">
        <v>0</v>
      </c>
      <c r="P639" s="13">
        <v>0</v>
      </c>
      <c r="Q639" s="31">
        <f t="shared" si="7"/>
        <v>67843.599999999991</v>
      </c>
    </row>
    <row r="640" spans="1:17" ht="90" outlineLevel="2" x14ac:dyDescent="0.2">
      <c r="A640" s="30">
        <v>140116</v>
      </c>
      <c r="B640" s="28"/>
      <c r="C640" s="30">
        <v>925407</v>
      </c>
      <c r="D640" s="59" t="s">
        <v>274</v>
      </c>
      <c r="E640" s="57" t="s">
        <v>20</v>
      </c>
      <c r="F640" s="13">
        <v>4</v>
      </c>
      <c r="G640" s="13">
        <v>0</v>
      </c>
      <c r="H640" s="13">
        <v>0</v>
      </c>
      <c r="I640" s="57">
        <v>0</v>
      </c>
      <c r="J640" s="13"/>
      <c r="K640" s="13">
        <v>4</v>
      </c>
      <c r="L640" s="13">
        <v>75.88</v>
      </c>
      <c r="M640" s="13">
        <v>303.52</v>
      </c>
      <c r="N640" s="13">
        <v>0</v>
      </c>
      <c r="O640" s="13">
        <v>0</v>
      </c>
      <c r="P640" s="13">
        <v>0</v>
      </c>
      <c r="Q640" s="31">
        <f t="shared" si="7"/>
        <v>303.52</v>
      </c>
    </row>
    <row r="641" spans="1:17" ht="90" outlineLevel="2" x14ac:dyDescent="0.2">
      <c r="A641" s="30">
        <v>140117</v>
      </c>
      <c r="B641" s="28"/>
      <c r="C641" s="30">
        <v>923000</v>
      </c>
      <c r="D641" s="59" t="s">
        <v>275</v>
      </c>
      <c r="E641" s="57" t="s">
        <v>15</v>
      </c>
      <c r="F641" s="13">
        <v>968.18</v>
      </c>
      <c r="G641" s="13">
        <v>168</v>
      </c>
      <c r="H641" s="13">
        <v>168</v>
      </c>
      <c r="I641" s="57">
        <v>336</v>
      </c>
      <c r="J641" s="13"/>
      <c r="K641" s="13">
        <v>632.17999999999995</v>
      </c>
      <c r="L641" s="13">
        <v>8.82</v>
      </c>
      <c r="M641" s="13">
        <v>8539.34</v>
      </c>
      <c r="N641" s="13">
        <v>1481.76</v>
      </c>
      <c r="O641" s="13">
        <v>1481.76</v>
      </c>
      <c r="P641" s="13">
        <v>2963.52</v>
      </c>
      <c r="Q641" s="31">
        <f t="shared" si="7"/>
        <v>5575.8275999999996</v>
      </c>
    </row>
    <row r="642" spans="1:17" ht="165" outlineLevel="2" x14ac:dyDescent="0.2">
      <c r="A642" s="30">
        <v>140118</v>
      </c>
      <c r="B642" s="28"/>
      <c r="C642" s="30">
        <v>925408</v>
      </c>
      <c r="D642" s="59" t="s">
        <v>276</v>
      </c>
      <c r="E642" s="57" t="s">
        <v>31</v>
      </c>
      <c r="F642" s="13">
        <v>16</v>
      </c>
      <c r="G642" s="13">
        <v>0</v>
      </c>
      <c r="H642" s="13">
        <v>0</v>
      </c>
      <c r="I642" s="57">
        <v>0</v>
      </c>
      <c r="J642" s="13"/>
      <c r="K642" s="13">
        <v>16</v>
      </c>
      <c r="L642" s="13">
        <v>156.02000000000001</v>
      </c>
      <c r="M642" s="13">
        <v>2496.3200000000002</v>
      </c>
      <c r="N642" s="13">
        <v>0</v>
      </c>
      <c r="O642" s="13">
        <v>0</v>
      </c>
      <c r="P642" s="13">
        <v>0</v>
      </c>
      <c r="Q642" s="31">
        <f t="shared" si="7"/>
        <v>2496.3200000000002</v>
      </c>
    </row>
    <row r="643" spans="1:17" ht="60" outlineLevel="2" x14ac:dyDescent="0.2">
      <c r="A643" s="30">
        <v>140119</v>
      </c>
      <c r="B643" s="28"/>
      <c r="C643" s="30">
        <v>925409</v>
      </c>
      <c r="D643" s="59" t="s">
        <v>277</v>
      </c>
      <c r="E643" s="57" t="s">
        <v>15</v>
      </c>
      <c r="F643" s="13">
        <v>271.77999999999997</v>
      </c>
      <c r="G643" s="13">
        <v>0</v>
      </c>
      <c r="H643" s="13">
        <v>0</v>
      </c>
      <c r="I643" s="57">
        <v>0</v>
      </c>
      <c r="J643" s="13"/>
      <c r="K643" s="13">
        <v>271.77999999999997</v>
      </c>
      <c r="L643" s="13">
        <v>28.5</v>
      </c>
      <c r="M643" s="13">
        <v>7745.73</v>
      </c>
      <c r="N643" s="13">
        <v>0</v>
      </c>
      <c r="O643" s="13">
        <v>0</v>
      </c>
      <c r="P643" s="13">
        <v>0</v>
      </c>
      <c r="Q643" s="31">
        <f t="shared" si="7"/>
        <v>7745.73</v>
      </c>
    </row>
    <row r="644" spans="1:17" ht="75" outlineLevel="2" x14ac:dyDescent="0.2">
      <c r="A644" s="30">
        <v>140120</v>
      </c>
      <c r="B644" s="28"/>
      <c r="C644" s="30">
        <v>500037</v>
      </c>
      <c r="D644" s="59" t="s">
        <v>278</v>
      </c>
      <c r="E644" s="57" t="s">
        <v>30</v>
      </c>
      <c r="F644" s="13">
        <v>63</v>
      </c>
      <c r="G644" s="13">
        <v>0</v>
      </c>
      <c r="H644" s="13">
        <v>0</v>
      </c>
      <c r="I644" s="57">
        <v>0</v>
      </c>
      <c r="J644" s="13"/>
      <c r="K644" s="13">
        <v>63</v>
      </c>
      <c r="L644" s="13">
        <v>12.88</v>
      </c>
      <c r="M644" s="13">
        <v>811.44</v>
      </c>
      <c r="N644" s="13">
        <v>0</v>
      </c>
      <c r="O644" s="13">
        <v>0</v>
      </c>
      <c r="P644" s="13">
        <v>0</v>
      </c>
      <c r="Q644" s="31">
        <f t="shared" si="7"/>
        <v>811.44</v>
      </c>
    </row>
    <row r="645" spans="1:17" ht="75" outlineLevel="2" x14ac:dyDescent="0.2">
      <c r="A645" s="30">
        <v>140121</v>
      </c>
      <c r="B645" s="28"/>
      <c r="C645" s="30">
        <v>925410</v>
      </c>
      <c r="D645" s="59" t="s">
        <v>279</v>
      </c>
      <c r="E645" s="57" t="s">
        <v>20</v>
      </c>
      <c r="F645" s="13">
        <v>10</v>
      </c>
      <c r="G645" s="13">
        <v>0</v>
      </c>
      <c r="H645" s="13">
        <v>0</v>
      </c>
      <c r="I645" s="57">
        <v>0</v>
      </c>
      <c r="J645" s="13"/>
      <c r="K645" s="13">
        <v>10</v>
      </c>
      <c r="L645" s="13">
        <v>71.83</v>
      </c>
      <c r="M645" s="13">
        <v>718.3</v>
      </c>
      <c r="N645" s="13">
        <v>0</v>
      </c>
      <c r="O645" s="13">
        <v>0</v>
      </c>
      <c r="P645" s="13">
        <v>0</v>
      </c>
      <c r="Q645" s="31">
        <f t="shared" si="7"/>
        <v>718.3</v>
      </c>
    </row>
    <row r="646" spans="1:17" ht="75" outlineLevel="2" x14ac:dyDescent="0.2">
      <c r="A646" s="30">
        <v>140122</v>
      </c>
      <c r="B646" s="28"/>
      <c r="C646" s="30">
        <v>925411</v>
      </c>
      <c r="D646" s="59" t="s">
        <v>280</v>
      </c>
      <c r="E646" s="57" t="s">
        <v>20</v>
      </c>
      <c r="F646" s="13">
        <v>227</v>
      </c>
      <c r="G646" s="13">
        <v>0</v>
      </c>
      <c r="H646" s="13">
        <v>0</v>
      </c>
      <c r="I646" s="57">
        <v>0</v>
      </c>
      <c r="J646" s="13"/>
      <c r="K646" s="13">
        <v>227</v>
      </c>
      <c r="L646" s="13">
        <v>7.77</v>
      </c>
      <c r="M646" s="13">
        <v>1763.79</v>
      </c>
      <c r="N646" s="13">
        <v>0</v>
      </c>
      <c r="O646" s="13">
        <v>0</v>
      </c>
      <c r="P646" s="13">
        <v>0</v>
      </c>
      <c r="Q646" s="31">
        <f t="shared" si="7"/>
        <v>1763.79</v>
      </c>
    </row>
    <row r="647" spans="1:17" ht="75" outlineLevel="2" x14ac:dyDescent="0.2">
      <c r="A647" s="30">
        <v>140123</v>
      </c>
      <c r="B647" s="28"/>
      <c r="C647" s="30">
        <v>922411</v>
      </c>
      <c r="D647" s="59" t="s">
        <v>281</v>
      </c>
      <c r="E647" s="57" t="s">
        <v>20</v>
      </c>
      <c r="F647" s="13">
        <v>4</v>
      </c>
      <c r="G647" s="13">
        <v>0</v>
      </c>
      <c r="H647" s="13">
        <v>0</v>
      </c>
      <c r="I647" s="57">
        <v>0</v>
      </c>
      <c r="J647" s="13"/>
      <c r="K647" s="13">
        <v>4</v>
      </c>
      <c r="L647" s="13">
        <v>41.85</v>
      </c>
      <c r="M647" s="13">
        <v>167.4</v>
      </c>
      <c r="N647" s="13">
        <v>0</v>
      </c>
      <c r="O647" s="13">
        <v>0</v>
      </c>
      <c r="P647" s="13">
        <v>0</v>
      </c>
      <c r="Q647" s="31">
        <f t="shared" si="7"/>
        <v>167.4</v>
      </c>
    </row>
    <row r="648" spans="1:17" ht="75" outlineLevel="2" x14ac:dyDescent="0.2">
      <c r="A648" s="30">
        <v>140124</v>
      </c>
      <c r="B648" s="28"/>
      <c r="C648" s="30">
        <v>925412</v>
      </c>
      <c r="D648" s="59" t="s">
        <v>282</v>
      </c>
      <c r="E648" s="57" t="s">
        <v>20</v>
      </c>
      <c r="F648" s="13">
        <v>45</v>
      </c>
      <c r="G648" s="13">
        <v>0</v>
      </c>
      <c r="H648" s="13">
        <v>0</v>
      </c>
      <c r="I648" s="57">
        <v>0</v>
      </c>
      <c r="J648" s="13"/>
      <c r="K648" s="13">
        <v>45</v>
      </c>
      <c r="L648" s="13">
        <v>8.76</v>
      </c>
      <c r="M648" s="13">
        <v>394.2</v>
      </c>
      <c r="N648" s="13">
        <v>0</v>
      </c>
      <c r="O648" s="13">
        <v>0</v>
      </c>
      <c r="P648" s="13">
        <v>0</v>
      </c>
      <c r="Q648" s="31">
        <f t="shared" si="7"/>
        <v>394.2</v>
      </c>
    </row>
    <row r="649" spans="1:17" ht="90" outlineLevel="2" x14ac:dyDescent="0.2">
      <c r="A649" s="30">
        <v>140125</v>
      </c>
      <c r="B649" s="28"/>
      <c r="C649" s="30">
        <v>920980</v>
      </c>
      <c r="D649" s="59" t="s">
        <v>283</v>
      </c>
      <c r="E649" s="57" t="s">
        <v>15</v>
      </c>
      <c r="F649" s="13">
        <v>7794.63</v>
      </c>
      <c r="G649" s="13">
        <v>0</v>
      </c>
      <c r="H649" s="13">
        <v>0</v>
      </c>
      <c r="I649" s="57">
        <v>0</v>
      </c>
      <c r="J649" s="13"/>
      <c r="K649" s="13">
        <v>7794.63</v>
      </c>
      <c r="L649" s="13">
        <v>2.27</v>
      </c>
      <c r="M649" s="13">
        <v>17693.810000000001</v>
      </c>
      <c r="N649" s="13">
        <v>0</v>
      </c>
      <c r="O649" s="13">
        <v>0</v>
      </c>
      <c r="P649" s="13">
        <v>0</v>
      </c>
      <c r="Q649" s="31">
        <f t="shared" si="7"/>
        <v>17693.810099999999</v>
      </c>
    </row>
    <row r="650" spans="1:17" ht="105" outlineLevel="2" x14ac:dyDescent="0.2">
      <c r="A650" s="30">
        <v>140126</v>
      </c>
      <c r="B650" s="28"/>
      <c r="C650" s="30">
        <v>925413</v>
      </c>
      <c r="D650" s="59" t="s">
        <v>284</v>
      </c>
      <c r="E650" s="57" t="s">
        <v>20</v>
      </c>
      <c r="F650" s="13">
        <v>217</v>
      </c>
      <c r="G650" s="13">
        <v>0</v>
      </c>
      <c r="H650" s="13">
        <v>0</v>
      </c>
      <c r="I650" s="57">
        <v>0</v>
      </c>
      <c r="J650" s="13"/>
      <c r="K650" s="13">
        <v>217</v>
      </c>
      <c r="L650" s="13">
        <v>77.17</v>
      </c>
      <c r="M650" s="13">
        <v>16745.89</v>
      </c>
      <c r="N650" s="13">
        <v>0</v>
      </c>
      <c r="O650" s="13">
        <v>0</v>
      </c>
      <c r="P650" s="13">
        <v>0</v>
      </c>
      <c r="Q650" s="31">
        <f t="shared" si="7"/>
        <v>16745.89</v>
      </c>
    </row>
    <row r="651" spans="1:17" ht="75" outlineLevel="2" x14ac:dyDescent="0.2">
      <c r="A651" s="30">
        <v>140127</v>
      </c>
      <c r="B651" s="28"/>
      <c r="C651" s="30">
        <v>920546</v>
      </c>
      <c r="D651" s="59" t="s">
        <v>285</v>
      </c>
      <c r="E651" s="57" t="s">
        <v>20</v>
      </c>
      <c r="F651" s="13">
        <v>69</v>
      </c>
      <c r="G651" s="13">
        <v>51</v>
      </c>
      <c r="H651" s="13">
        <v>0</v>
      </c>
      <c r="I651" s="57">
        <v>51</v>
      </c>
      <c r="J651" s="13"/>
      <c r="K651" s="13">
        <v>18</v>
      </c>
      <c r="L651" s="13">
        <v>18.09</v>
      </c>
      <c r="M651" s="13">
        <v>1248.21</v>
      </c>
      <c r="N651" s="13">
        <v>922.59</v>
      </c>
      <c r="O651" s="13">
        <v>0</v>
      </c>
      <c r="P651" s="13">
        <v>922.59</v>
      </c>
      <c r="Q651" s="31">
        <f t="shared" si="7"/>
        <v>325.62</v>
      </c>
    </row>
    <row r="652" spans="1:17" ht="90" outlineLevel="2" x14ac:dyDescent="0.2">
      <c r="A652" s="30">
        <v>140128</v>
      </c>
      <c r="B652" s="28"/>
      <c r="C652" s="30">
        <v>920545</v>
      </c>
      <c r="D652" s="59" t="s">
        <v>286</v>
      </c>
      <c r="E652" s="57" t="s">
        <v>20</v>
      </c>
      <c r="F652" s="13">
        <v>106</v>
      </c>
      <c r="G652" s="13">
        <v>20</v>
      </c>
      <c r="H652" s="13">
        <v>86</v>
      </c>
      <c r="I652" s="57">
        <v>106</v>
      </c>
      <c r="J652" s="13"/>
      <c r="K652" s="13">
        <v>0</v>
      </c>
      <c r="L652" s="13">
        <v>9.5500000000000007</v>
      </c>
      <c r="M652" s="13">
        <v>1012.3</v>
      </c>
      <c r="N652" s="13">
        <v>191</v>
      </c>
      <c r="O652" s="13">
        <v>821.3</v>
      </c>
      <c r="P652" s="13">
        <v>1012.3</v>
      </c>
      <c r="Q652" s="31">
        <f t="shared" si="7"/>
        <v>0</v>
      </c>
    </row>
    <row r="653" spans="1:17" ht="75" outlineLevel="2" x14ac:dyDescent="0.2">
      <c r="A653" s="30">
        <v>140129</v>
      </c>
      <c r="B653" s="28"/>
      <c r="C653" s="30">
        <v>920544</v>
      </c>
      <c r="D653" s="59" t="s">
        <v>287</v>
      </c>
      <c r="E653" s="57" t="s">
        <v>20</v>
      </c>
      <c r="F653" s="13">
        <v>134</v>
      </c>
      <c r="G653" s="13">
        <v>50</v>
      </c>
      <c r="H653" s="13">
        <v>46</v>
      </c>
      <c r="I653" s="57">
        <v>96</v>
      </c>
      <c r="J653" s="13"/>
      <c r="K653" s="13">
        <v>38</v>
      </c>
      <c r="L653" s="13">
        <v>6.34</v>
      </c>
      <c r="M653" s="13">
        <v>849.56</v>
      </c>
      <c r="N653" s="13">
        <v>317</v>
      </c>
      <c r="O653" s="13">
        <v>291.64</v>
      </c>
      <c r="P653" s="13">
        <v>608.64</v>
      </c>
      <c r="Q653" s="31">
        <f t="shared" si="7"/>
        <v>240.92</v>
      </c>
    </row>
    <row r="654" spans="1:17" ht="75" outlineLevel="2" x14ac:dyDescent="0.2">
      <c r="A654" s="30">
        <v>140130</v>
      </c>
      <c r="B654" s="28"/>
      <c r="C654" s="30">
        <v>920551</v>
      </c>
      <c r="D654" s="59" t="s">
        <v>288</v>
      </c>
      <c r="E654" s="57" t="s">
        <v>20</v>
      </c>
      <c r="F654" s="13">
        <v>29</v>
      </c>
      <c r="G654" s="13">
        <v>0</v>
      </c>
      <c r="H654" s="13">
        <v>0</v>
      </c>
      <c r="I654" s="57">
        <v>0</v>
      </c>
      <c r="J654" s="13"/>
      <c r="K654" s="13">
        <v>29</v>
      </c>
      <c r="L654" s="13">
        <v>19.27</v>
      </c>
      <c r="M654" s="13">
        <v>558.83000000000004</v>
      </c>
      <c r="N654" s="13">
        <v>0</v>
      </c>
      <c r="O654" s="13">
        <v>0</v>
      </c>
      <c r="P654" s="13">
        <v>0</v>
      </c>
      <c r="Q654" s="31">
        <f t="shared" si="7"/>
        <v>558.83000000000004</v>
      </c>
    </row>
    <row r="655" spans="1:17" ht="75" outlineLevel="2" x14ac:dyDescent="0.2">
      <c r="A655" s="30">
        <v>140131</v>
      </c>
      <c r="B655" s="28"/>
      <c r="C655" s="30">
        <v>920552</v>
      </c>
      <c r="D655" s="59" t="s">
        <v>289</v>
      </c>
      <c r="E655" s="57" t="s">
        <v>20</v>
      </c>
      <c r="F655" s="13">
        <v>23</v>
      </c>
      <c r="G655" s="13">
        <v>0</v>
      </c>
      <c r="H655" s="13">
        <v>0</v>
      </c>
      <c r="I655" s="57">
        <v>0</v>
      </c>
      <c r="J655" s="13"/>
      <c r="K655" s="13">
        <v>23</v>
      </c>
      <c r="L655" s="13">
        <v>30.56</v>
      </c>
      <c r="M655" s="13">
        <v>702.88</v>
      </c>
      <c r="N655" s="13">
        <v>0</v>
      </c>
      <c r="O655" s="13">
        <v>0</v>
      </c>
      <c r="P655" s="13">
        <v>0</v>
      </c>
      <c r="Q655" s="31">
        <f t="shared" si="7"/>
        <v>702.88</v>
      </c>
    </row>
    <row r="656" spans="1:17" ht="90" outlineLevel="2" x14ac:dyDescent="0.2">
      <c r="A656" s="30">
        <v>140132</v>
      </c>
      <c r="B656" s="28"/>
      <c r="C656" s="30">
        <v>922097</v>
      </c>
      <c r="D656" s="59" t="s">
        <v>290</v>
      </c>
      <c r="E656" s="57" t="s">
        <v>20</v>
      </c>
      <c r="F656" s="13">
        <v>53</v>
      </c>
      <c r="G656" s="13">
        <v>0</v>
      </c>
      <c r="H656" s="13">
        <v>0</v>
      </c>
      <c r="I656" s="57">
        <v>0</v>
      </c>
      <c r="J656" s="13"/>
      <c r="K656" s="13">
        <v>53</v>
      </c>
      <c r="L656" s="13">
        <v>28.61</v>
      </c>
      <c r="M656" s="13">
        <v>1516.33</v>
      </c>
      <c r="N656" s="13">
        <v>0</v>
      </c>
      <c r="O656" s="13">
        <v>0</v>
      </c>
      <c r="P656" s="13">
        <v>0</v>
      </c>
      <c r="Q656" s="31">
        <f t="shared" si="7"/>
        <v>1516.33</v>
      </c>
    </row>
    <row r="657" spans="1:17" ht="75" outlineLevel="2" x14ac:dyDescent="0.2">
      <c r="A657" s="30">
        <v>140133</v>
      </c>
      <c r="B657" s="28"/>
      <c r="C657" s="30">
        <v>922747</v>
      </c>
      <c r="D657" s="59" t="s">
        <v>291</v>
      </c>
      <c r="E657" s="57" t="s">
        <v>20</v>
      </c>
      <c r="F657" s="13">
        <v>35</v>
      </c>
      <c r="G657" s="13">
        <v>0</v>
      </c>
      <c r="H657" s="13">
        <v>0</v>
      </c>
      <c r="I657" s="57">
        <v>0</v>
      </c>
      <c r="J657" s="13"/>
      <c r="K657" s="13">
        <v>35</v>
      </c>
      <c r="L657" s="13">
        <v>22.72</v>
      </c>
      <c r="M657" s="13">
        <v>795.2</v>
      </c>
      <c r="N657" s="13">
        <v>0</v>
      </c>
      <c r="O657" s="13">
        <v>0</v>
      </c>
      <c r="P657" s="13">
        <v>0</v>
      </c>
      <c r="Q657" s="31">
        <f t="shared" si="7"/>
        <v>795.19999999999993</v>
      </c>
    </row>
    <row r="658" spans="1:17" ht="75" outlineLevel="2" x14ac:dyDescent="0.2">
      <c r="A658" s="30">
        <v>140134</v>
      </c>
      <c r="B658" s="28"/>
      <c r="C658" s="30">
        <v>920550</v>
      </c>
      <c r="D658" s="59" t="s">
        <v>292</v>
      </c>
      <c r="E658" s="57" t="s">
        <v>20</v>
      </c>
      <c r="F658" s="13">
        <v>128</v>
      </c>
      <c r="G658" s="13">
        <v>0</v>
      </c>
      <c r="H658" s="13">
        <v>0</v>
      </c>
      <c r="I658" s="57">
        <v>0</v>
      </c>
      <c r="J658" s="13"/>
      <c r="K658" s="13">
        <v>128</v>
      </c>
      <c r="L658" s="13">
        <v>20.420000000000002</v>
      </c>
      <c r="M658" s="13">
        <v>2613.7600000000002</v>
      </c>
      <c r="N658" s="13">
        <v>0</v>
      </c>
      <c r="O658" s="13">
        <v>0</v>
      </c>
      <c r="P658" s="13">
        <v>0</v>
      </c>
      <c r="Q658" s="31">
        <f t="shared" si="7"/>
        <v>2613.7600000000002</v>
      </c>
    </row>
    <row r="659" spans="1:17" ht="90" outlineLevel="2" x14ac:dyDescent="0.2">
      <c r="A659" s="30">
        <v>140135</v>
      </c>
      <c r="B659" s="28"/>
      <c r="C659" s="30">
        <v>922999</v>
      </c>
      <c r="D659" s="59" t="s">
        <v>293</v>
      </c>
      <c r="E659" s="57" t="s">
        <v>15</v>
      </c>
      <c r="F659" s="13">
        <v>363.24</v>
      </c>
      <c r="G659" s="13">
        <v>17.77</v>
      </c>
      <c r="H659" s="13">
        <v>0</v>
      </c>
      <c r="I659" s="57">
        <v>17.77</v>
      </c>
      <c r="J659" s="13"/>
      <c r="K659" s="13">
        <v>345.47</v>
      </c>
      <c r="L659" s="13">
        <v>6.3</v>
      </c>
      <c r="M659" s="13">
        <v>2288.41</v>
      </c>
      <c r="N659" s="13">
        <v>111.95</v>
      </c>
      <c r="O659" s="13">
        <v>0</v>
      </c>
      <c r="P659" s="13">
        <v>111.95</v>
      </c>
      <c r="Q659" s="31">
        <f t="shared" si="7"/>
        <v>2176.4610000000002</v>
      </c>
    </row>
    <row r="660" spans="1:17" ht="90" outlineLevel="2" x14ac:dyDescent="0.2">
      <c r="A660" s="30">
        <v>140136</v>
      </c>
      <c r="B660" s="28"/>
      <c r="C660" s="30">
        <v>924055</v>
      </c>
      <c r="D660" s="59" t="s">
        <v>294</v>
      </c>
      <c r="E660" s="57" t="s">
        <v>15</v>
      </c>
      <c r="F660" s="13">
        <v>600.23</v>
      </c>
      <c r="G660" s="13">
        <v>600.23</v>
      </c>
      <c r="H660" s="13">
        <v>0</v>
      </c>
      <c r="I660" s="57">
        <v>600.23</v>
      </c>
      <c r="J660" s="13"/>
      <c r="K660" s="13">
        <v>0</v>
      </c>
      <c r="L660" s="13">
        <v>8.43</v>
      </c>
      <c r="M660" s="13">
        <v>5059.93</v>
      </c>
      <c r="N660" s="13">
        <v>5059.93</v>
      </c>
      <c r="O660" s="13">
        <v>0</v>
      </c>
      <c r="P660" s="13">
        <v>5059.93</v>
      </c>
      <c r="Q660" s="31">
        <f t="shared" si="7"/>
        <v>0</v>
      </c>
    </row>
    <row r="661" spans="1:17" ht="90" outlineLevel="2" x14ac:dyDescent="0.2">
      <c r="A661" s="30">
        <v>140137</v>
      </c>
      <c r="B661" s="28"/>
      <c r="C661" s="30">
        <v>923110</v>
      </c>
      <c r="D661" s="59" t="s">
        <v>295</v>
      </c>
      <c r="E661" s="57" t="s">
        <v>20</v>
      </c>
      <c r="F661" s="13">
        <v>4</v>
      </c>
      <c r="G661" s="13">
        <v>0</v>
      </c>
      <c r="H661" s="13">
        <v>0</v>
      </c>
      <c r="I661" s="57">
        <v>0</v>
      </c>
      <c r="J661" s="13"/>
      <c r="K661" s="13">
        <v>4</v>
      </c>
      <c r="L661" s="13">
        <v>20.9</v>
      </c>
      <c r="M661" s="13">
        <v>83.6</v>
      </c>
      <c r="N661" s="13">
        <v>0</v>
      </c>
      <c r="O661" s="13">
        <v>0</v>
      </c>
      <c r="P661" s="13">
        <v>0</v>
      </c>
      <c r="Q661" s="31">
        <f t="shared" si="7"/>
        <v>83.6</v>
      </c>
    </row>
    <row r="662" spans="1:17" ht="90" outlineLevel="2" x14ac:dyDescent="0.2">
      <c r="A662" s="30">
        <v>140138</v>
      </c>
      <c r="B662" s="28"/>
      <c r="C662" s="30">
        <v>923108</v>
      </c>
      <c r="D662" s="59" t="s">
        <v>296</v>
      </c>
      <c r="E662" s="57" t="s">
        <v>20</v>
      </c>
      <c r="F662" s="13">
        <v>4</v>
      </c>
      <c r="G662" s="13">
        <v>0</v>
      </c>
      <c r="H662" s="13">
        <v>0</v>
      </c>
      <c r="I662" s="57">
        <v>0</v>
      </c>
      <c r="J662" s="13"/>
      <c r="K662" s="13">
        <v>4</v>
      </c>
      <c r="L662" s="13">
        <v>24.62</v>
      </c>
      <c r="M662" s="13">
        <v>98.48</v>
      </c>
      <c r="N662" s="13">
        <v>0</v>
      </c>
      <c r="O662" s="13">
        <v>0</v>
      </c>
      <c r="P662" s="13">
        <v>0</v>
      </c>
      <c r="Q662" s="31">
        <f t="shared" si="7"/>
        <v>98.48</v>
      </c>
    </row>
    <row r="663" spans="1:17" ht="90" outlineLevel="2" x14ac:dyDescent="0.2">
      <c r="A663" s="30">
        <v>140139</v>
      </c>
      <c r="B663" s="28"/>
      <c r="C663" s="30">
        <v>921952</v>
      </c>
      <c r="D663" s="59" t="s">
        <v>297</v>
      </c>
      <c r="E663" s="57" t="s">
        <v>15</v>
      </c>
      <c r="F663" s="13">
        <v>83.68</v>
      </c>
      <c r="G663" s="13">
        <v>0</v>
      </c>
      <c r="H663" s="13">
        <v>0</v>
      </c>
      <c r="I663" s="57">
        <v>0</v>
      </c>
      <c r="J663" s="13"/>
      <c r="K663" s="13">
        <v>83.68</v>
      </c>
      <c r="L663" s="13">
        <v>17.32</v>
      </c>
      <c r="M663" s="13">
        <v>1449.33</v>
      </c>
      <c r="N663" s="13">
        <v>0</v>
      </c>
      <c r="O663" s="13">
        <v>0</v>
      </c>
      <c r="P663" s="13">
        <v>0</v>
      </c>
      <c r="Q663" s="31">
        <f t="shared" si="7"/>
        <v>1449.3376000000001</v>
      </c>
    </row>
    <row r="664" spans="1:17" ht="135" outlineLevel="2" x14ac:dyDescent="0.2">
      <c r="A664" s="30">
        <v>140140</v>
      </c>
      <c r="B664" s="28"/>
      <c r="C664" s="30">
        <v>925414</v>
      </c>
      <c r="D664" s="59" t="s">
        <v>298</v>
      </c>
      <c r="E664" s="57" t="s">
        <v>31</v>
      </c>
      <c r="F664" s="13">
        <v>52</v>
      </c>
      <c r="G664" s="13">
        <v>0</v>
      </c>
      <c r="H664" s="13">
        <v>0</v>
      </c>
      <c r="I664" s="57">
        <v>0</v>
      </c>
      <c r="J664" s="13"/>
      <c r="K664" s="13">
        <v>52</v>
      </c>
      <c r="L664" s="13">
        <v>57.28</v>
      </c>
      <c r="M664" s="13">
        <v>2978.56</v>
      </c>
      <c r="N664" s="13">
        <v>0</v>
      </c>
      <c r="O664" s="13">
        <v>0</v>
      </c>
      <c r="P664" s="13">
        <v>0</v>
      </c>
      <c r="Q664" s="31">
        <f t="shared" si="7"/>
        <v>2978.56</v>
      </c>
    </row>
    <row r="665" spans="1:17" ht="75" outlineLevel="2" x14ac:dyDescent="0.2">
      <c r="A665" s="30">
        <v>140141</v>
      </c>
      <c r="B665" s="28"/>
      <c r="C665" s="30">
        <v>922746</v>
      </c>
      <c r="D665" s="59" t="s">
        <v>299</v>
      </c>
      <c r="E665" s="57" t="s">
        <v>20</v>
      </c>
      <c r="F665" s="13">
        <v>16</v>
      </c>
      <c r="G665" s="13">
        <v>0</v>
      </c>
      <c r="H665" s="13">
        <v>0</v>
      </c>
      <c r="I665" s="57">
        <v>0</v>
      </c>
      <c r="J665" s="13"/>
      <c r="K665" s="13">
        <v>16</v>
      </c>
      <c r="L665" s="13">
        <v>30.56</v>
      </c>
      <c r="M665" s="13">
        <v>488.96</v>
      </c>
      <c r="N665" s="13">
        <v>0</v>
      </c>
      <c r="O665" s="13">
        <v>0</v>
      </c>
      <c r="P665" s="13">
        <v>0</v>
      </c>
      <c r="Q665" s="31">
        <f t="shared" si="7"/>
        <v>488.96</v>
      </c>
    </row>
    <row r="666" spans="1:17" ht="75" outlineLevel="2" x14ac:dyDescent="0.2">
      <c r="A666" s="30">
        <v>140142</v>
      </c>
      <c r="B666" s="28"/>
      <c r="C666" s="30">
        <v>923009</v>
      </c>
      <c r="D666" s="59" t="s">
        <v>300</v>
      </c>
      <c r="E666" s="57" t="s">
        <v>20</v>
      </c>
      <c r="F666" s="13">
        <v>4</v>
      </c>
      <c r="G666" s="13">
        <v>0</v>
      </c>
      <c r="H666" s="13">
        <v>0</v>
      </c>
      <c r="I666" s="57">
        <v>0</v>
      </c>
      <c r="J666" s="13"/>
      <c r="K666" s="13">
        <v>4</v>
      </c>
      <c r="L666" s="13">
        <v>22.37</v>
      </c>
      <c r="M666" s="13">
        <v>89.48</v>
      </c>
      <c r="N666" s="13">
        <v>0</v>
      </c>
      <c r="O666" s="13">
        <v>0</v>
      </c>
      <c r="P666" s="13">
        <v>0</v>
      </c>
      <c r="Q666" s="31">
        <f t="shared" si="7"/>
        <v>89.48</v>
      </c>
    </row>
    <row r="667" spans="1:17" ht="75" outlineLevel="2" x14ac:dyDescent="0.2">
      <c r="A667" s="30">
        <v>140143</v>
      </c>
      <c r="B667" s="28"/>
      <c r="C667" s="30">
        <v>922439</v>
      </c>
      <c r="D667" s="59" t="s">
        <v>301</v>
      </c>
      <c r="E667" s="57" t="s">
        <v>20</v>
      </c>
      <c r="F667" s="13">
        <v>43</v>
      </c>
      <c r="G667" s="13">
        <v>0</v>
      </c>
      <c r="H667" s="13">
        <v>0</v>
      </c>
      <c r="I667" s="57">
        <v>0</v>
      </c>
      <c r="J667" s="13"/>
      <c r="K667" s="13">
        <v>43</v>
      </c>
      <c r="L667" s="13">
        <v>32.83</v>
      </c>
      <c r="M667" s="13">
        <v>1411.69</v>
      </c>
      <c r="N667" s="13">
        <v>0</v>
      </c>
      <c r="O667" s="13">
        <v>0</v>
      </c>
      <c r="P667" s="13">
        <v>0</v>
      </c>
      <c r="Q667" s="31">
        <f t="shared" si="7"/>
        <v>1411.6899999999998</v>
      </c>
    </row>
    <row r="668" spans="1:17" ht="75" outlineLevel="2" x14ac:dyDescent="0.2">
      <c r="A668" s="30">
        <v>140144</v>
      </c>
      <c r="B668" s="28"/>
      <c r="C668" s="30">
        <v>659080</v>
      </c>
      <c r="D668" s="59" t="s">
        <v>302</v>
      </c>
      <c r="E668" s="57" t="s">
        <v>20</v>
      </c>
      <c r="F668" s="13">
        <v>14</v>
      </c>
      <c r="G668" s="13">
        <v>0</v>
      </c>
      <c r="H668" s="13">
        <v>0</v>
      </c>
      <c r="I668" s="57">
        <v>0</v>
      </c>
      <c r="J668" s="13"/>
      <c r="K668" s="13">
        <v>14</v>
      </c>
      <c r="L668" s="13">
        <v>60.13</v>
      </c>
      <c r="M668" s="13">
        <v>841.82</v>
      </c>
      <c r="N668" s="13">
        <v>0</v>
      </c>
      <c r="O668" s="13">
        <v>0</v>
      </c>
      <c r="P668" s="13">
        <v>0</v>
      </c>
      <c r="Q668" s="31">
        <f t="shared" si="7"/>
        <v>841.82</v>
      </c>
    </row>
    <row r="669" spans="1:17" ht="90" outlineLevel="2" x14ac:dyDescent="0.2">
      <c r="A669" s="30">
        <v>140145</v>
      </c>
      <c r="B669" s="28"/>
      <c r="C669" s="30">
        <v>925415</v>
      </c>
      <c r="D669" s="59" t="s">
        <v>303</v>
      </c>
      <c r="E669" s="57" t="s">
        <v>20</v>
      </c>
      <c r="F669" s="13">
        <v>41</v>
      </c>
      <c r="G669" s="13">
        <v>0</v>
      </c>
      <c r="H669" s="13">
        <v>0</v>
      </c>
      <c r="I669" s="57">
        <v>0</v>
      </c>
      <c r="J669" s="13"/>
      <c r="K669" s="13">
        <v>41</v>
      </c>
      <c r="L669" s="13">
        <v>148.88</v>
      </c>
      <c r="M669" s="13">
        <v>6104.08</v>
      </c>
      <c r="N669" s="13">
        <v>0</v>
      </c>
      <c r="O669" s="13">
        <v>0</v>
      </c>
      <c r="P669" s="13">
        <v>0</v>
      </c>
      <c r="Q669" s="31">
        <f t="shared" si="7"/>
        <v>6104.08</v>
      </c>
    </row>
    <row r="670" spans="1:17" ht="45" outlineLevel="2" x14ac:dyDescent="0.2">
      <c r="A670" s="30">
        <v>140146</v>
      </c>
      <c r="B670" s="28"/>
      <c r="C670" s="30">
        <v>925416</v>
      </c>
      <c r="D670" s="59" t="s">
        <v>304</v>
      </c>
      <c r="E670" s="57" t="s">
        <v>20</v>
      </c>
      <c r="F670" s="13">
        <v>21</v>
      </c>
      <c r="G670" s="13">
        <v>0</v>
      </c>
      <c r="H670" s="13">
        <v>0</v>
      </c>
      <c r="I670" s="57">
        <v>0</v>
      </c>
      <c r="J670" s="13"/>
      <c r="K670" s="13">
        <v>21</v>
      </c>
      <c r="L670" s="13">
        <v>41.72</v>
      </c>
      <c r="M670" s="13">
        <v>876.12</v>
      </c>
      <c r="N670" s="13">
        <v>0</v>
      </c>
      <c r="O670" s="13">
        <v>0</v>
      </c>
      <c r="P670" s="13">
        <v>0</v>
      </c>
      <c r="Q670" s="31">
        <f t="shared" si="7"/>
        <v>876.12</v>
      </c>
    </row>
    <row r="671" spans="1:17" ht="15" x14ac:dyDescent="0.2">
      <c r="A671" s="28"/>
      <c r="B671" s="28"/>
      <c r="C671" s="28"/>
      <c r="D671" s="60"/>
      <c r="E671" s="67"/>
      <c r="F671" s="28"/>
      <c r="G671" s="28"/>
      <c r="H671" s="28"/>
      <c r="I671" s="67"/>
      <c r="J671" s="28"/>
      <c r="K671" s="28"/>
      <c r="L671" s="28"/>
      <c r="M671" s="28"/>
      <c r="N671" s="28"/>
      <c r="O671" s="28"/>
      <c r="P671" s="28"/>
      <c r="Q671" s="31">
        <f t="shared" si="7"/>
        <v>0</v>
      </c>
    </row>
    <row r="672" spans="1:17" ht="15" x14ac:dyDescent="0.2">
      <c r="A672" s="28"/>
      <c r="B672" s="28"/>
      <c r="C672" s="28"/>
      <c r="D672" s="60"/>
      <c r="E672" s="67"/>
      <c r="F672" s="28"/>
      <c r="G672" s="28"/>
      <c r="H672" s="28"/>
      <c r="I672" s="67"/>
      <c r="J672" s="28"/>
      <c r="K672" s="28"/>
      <c r="L672" s="28"/>
      <c r="M672" s="28"/>
      <c r="N672" s="28"/>
      <c r="O672" s="28"/>
      <c r="P672" s="28"/>
      <c r="Q672" s="31">
        <f t="shared" si="7"/>
        <v>0</v>
      </c>
    </row>
    <row r="673" spans="1:17" ht="78.75" outlineLevel="2" x14ac:dyDescent="0.2">
      <c r="A673" s="30">
        <v>150100</v>
      </c>
      <c r="B673" s="28"/>
      <c r="C673" s="30">
        <v>925417</v>
      </c>
      <c r="D673" s="37" t="s">
        <v>32</v>
      </c>
      <c r="E673" s="67"/>
      <c r="F673" s="13" t="s">
        <v>9</v>
      </c>
      <c r="G673" s="13">
        <v>0</v>
      </c>
      <c r="H673" s="13">
        <v>0</v>
      </c>
      <c r="I673" s="57">
        <v>0</v>
      </c>
      <c r="J673" s="13"/>
      <c r="K673" s="13">
        <v>0</v>
      </c>
      <c r="L673" s="13" t="s">
        <v>9</v>
      </c>
      <c r="M673" s="13" t="s">
        <v>9</v>
      </c>
      <c r="N673" s="13">
        <v>0</v>
      </c>
      <c r="O673" s="13">
        <v>0</v>
      </c>
      <c r="P673" s="13">
        <v>0</v>
      </c>
      <c r="Q673" s="31">
        <f t="shared" si="7"/>
        <v>0</v>
      </c>
    </row>
    <row r="674" spans="1:17" ht="105" outlineLevel="2" x14ac:dyDescent="0.2">
      <c r="A674" s="30">
        <v>150101</v>
      </c>
      <c r="B674" s="28"/>
      <c r="C674" s="30">
        <v>925418</v>
      </c>
      <c r="D674" s="59" t="s">
        <v>305</v>
      </c>
      <c r="E674" s="57" t="s">
        <v>20</v>
      </c>
      <c r="F674" s="13">
        <v>1</v>
      </c>
      <c r="G674" s="13">
        <v>0</v>
      </c>
      <c r="H674" s="13">
        <v>0</v>
      </c>
      <c r="I674" s="57">
        <v>0</v>
      </c>
      <c r="J674" s="13"/>
      <c r="K674" s="13">
        <v>1</v>
      </c>
      <c r="L674" s="13">
        <v>102.54</v>
      </c>
      <c r="M674" s="13">
        <v>102.54</v>
      </c>
      <c r="N674" s="13">
        <v>0</v>
      </c>
      <c r="O674" s="13">
        <v>0</v>
      </c>
      <c r="P674" s="13">
        <v>0</v>
      </c>
      <c r="Q674" s="31">
        <f t="shared" si="7"/>
        <v>102.54</v>
      </c>
    </row>
    <row r="675" spans="1:17" ht="75" outlineLevel="2" x14ac:dyDescent="0.2">
      <c r="A675" s="30">
        <v>150102</v>
      </c>
      <c r="B675" s="28"/>
      <c r="C675" s="30">
        <v>925419</v>
      </c>
      <c r="D675" s="59" t="s">
        <v>306</v>
      </c>
      <c r="E675" s="57" t="s">
        <v>15</v>
      </c>
      <c r="F675" s="13">
        <v>5.55</v>
      </c>
      <c r="G675" s="13">
        <v>0</v>
      </c>
      <c r="H675" s="13">
        <v>0</v>
      </c>
      <c r="I675" s="57">
        <v>0</v>
      </c>
      <c r="J675" s="13"/>
      <c r="K675" s="13">
        <v>5.55</v>
      </c>
      <c r="L675" s="13">
        <v>6.65</v>
      </c>
      <c r="M675" s="13">
        <v>36.9</v>
      </c>
      <c r="N675" s="13">
        <v>0</v>
      </c>
      <c r="O675" s="13">
        <v>0</v>
      </c>
      <c r="P675" s="13">
        <v>0</v>
      </c>
      <c r="Q675" s="31">
        <f t="shared" si="7"/>
        <v>36.907499999999999</v>
      </c>
    </row>
    <row r="676" spans="1:17" ht="60" outlineLevel="2" x14ac:dyDescent="0.2">
      <c r="A676" s="30">
        <v>150103</v>
      </c>
      <c r="B676" s="28"/>
      <c r="C676" s="30">
        <v>925420</v>
      </c>
      <c r="D676" s="59" t="s">
        <v>307</v>
      </c>
      <c r="E676" s="57" t="s">
        <v>15</v>
      </c>
      <c r="F676" s="13">
        <v>28.88</v>
      </c>
      <c r="G676" s="13">
        <v>0</v>
      </c>
      <c r="H676" s="13">
        <v>0</v>
      </c>
      <c r="I676" s="57">
        <v>0</v>
      </c>
      <c r="J676" s="13"/>
      <c r="K676" s="13">
        <v>28.88</v>
      </c>
      <c r="L676" s="13">
        <v>1.41</v>
      </c>
      <c r="M676" s="13">
        <v>40.72</v>
      </c>
      <c r="N676" s="13">
        <v>0</v>
      </c>
      <c r="O676" s="13">
        <v>0</v>
      </c>
      <c r="P676" s="13">
        <v>0</v>
      </c>
      <c r="Q676" s="31">
        <f t="shared" si="7"/>
        <v>40.720799999999997</v>
      </c>
    </row>
    <row r="677" spans="1:17" ht="60" outlineLevel="2" x14ac:dyDescent="0.2">
      <c r="A677" s="30">
        <v>150104</v>
      </c>
      <c r="B677" s="28"/>
      <c r="C677" s="30">
        <v>925421</v>
      </c>
      <c r="D677" s="59" t="s">
        <v>308</v>
      </c>
      <c r="E677" s="57" t="s">
        <v>20</v>
      </c>
      <c r="F677" s="13">
        <v>6</v>
      </c>
      <c r="G677" s="13">
        <v>6</v>
      </c>
      <c r="H677" s="13">
        <v>0</v>
      </c>
      <c r="I677" s="57">
        <v>6</v>
      </c>
      <c r="J677" s="13"/>
      <c r="K677" s="13">
        <v>0</v>
      </c>
      <c r="L677" s="13">
        <v>106.98</v>
      </c>
      <c r="M677" s="13">
        <v>641.88</v>
      </c>
      <c r="N677" s="13">
        <v>641.88</v>
      </c>
      <c r="O677" s="13">
        <v>0</v>
      </c>
      <c r="P677" s="13">
        <v>641.88</v>
      </c>
      <c r="Q677" s="31">
        <f t="shared" si="7"/>
        <v>0</v>
      </c>
    </row>
    <row r="678" spans="1:17" ht="45" outlineLevel="2" x14ac:dyDescent="0.2">
      <c r="A678" s="30">
        <v>150105</v>
      </c>
      <c r="B678" s="28"/>
      <c r="C678" s="30">
        <v>925422</v>
      </c>
      <c r="D678" s="59" t="s">
        <v>309</v>
      </c>
      <c r="E678" s="57" t="s">
        <v>15</v>
      </c>
      <c r="F678" s="13">
        <v>2096.7399999999998</v>
      </c>
      <c r="G678" s="13">
        <v>0</v>
      </c>
      <c r="H678" s="13">
        <v>0</v>
      </c>
      <c r="I678" s="57">
        <v>0</v>
      </c>
      <c r="J678" s="13"/>
      <c r="K678" s="13">
        <v>2096.7399999999998</v>
      </c>
      <c r="L678" s="13">
        <v>5.81</v>
      </c>
      <c r="M678" s="13">
        <v>12182.05</v>
      </c>
      <c r="N678" s="13">
        <v>0</v>
      </c>
      <c r="O678" s="13">
        <v>0</v>
      </c>
      <c r="P678" s="13">
        <v>0</v>
      </c>
      <c r="Q678" s="31">
        <f t="shared" si="7"/>
        <v>12182.059399999998</v>
      </c>
    </row>
    <row r="679" spans="1:17" ht="75" outlineLevel="2" x14ac:dyDescent="0.2">
      <c r="A679" s="30">
        <v>150106</v>
      </c>
      <c r="B679" s="28"/>
      <c r="C679" s="30">
        <v>925423</v>
      </c>
      <c r="D679" s="59" t="s">
        <v>310</v>
      </c>
      <c r="E679" s="57" t="s">
        <v>20</v>
      </c>
      <c r="F679" s="13">
        <v>79</v>
      </c>
      <c r="G679" s="13">
        <v>0</v>
      </c>
      <c r="H679" s="13">
        <v>0</v>
      </c>
      <c r="I679" s="57">
        <v>0</v>
      </c>
      <c r="J679" s="13"/>
      <c r="K679" s="13">
        <v>79</v>
      </c>
      <c r="L679" s="13">
        <v>44.32</v>
      </c>
      <c r="M679" s="13">
        <v>3501.28</v>
      </c>
      <c r="N679" s="13">
        <v>0</v>
      </c>
      <c r="O679" s="13">
        <v>0</v>
      </c>
      <c r="P679" s="13">
        <v>0</v>
      </c>
      <c r="Q679" s="31">
        <f t="shared" si="7"/>
        <v>3501.28</v>
      </c>
    </row>
    <row r="680" spans="1:17" ht="60" outlineLevel="2" x14ac:dyDescent="0.2">
      <c r="A680" s="30">
        <v>150107</v>
      </c>
      <c r="B680" s="28"/>
      <c r="C680" s="30">
        <v>925424</v>
      </c>
      <c r="D680" s="59" t="s">
        <v>311</v>
      </c>
      <c r="E680" s="57" t="s">
        <v>20</v>
      </c>
      <c r="F680" s="13">
        <v>8</v>
      </c>
      <c r="G680" s="13">
        <v>1</v>
      </c>
      <c r="H680" s="13">
        <v>0</v>
      </c>
      <c r="I680" s="57">
        <v>1</v>
      </c>
      <c r="J680" s="13"/>
      <c r="K680" s="13">
        <v>7</v>
      </c>
      <c r="L680" s="13">
        <v>56.1</v>
      </c>
      <c r="M680" s="13">
        <v>448.8</v>
      </c>
      <c r="N680" s="13">
        <v>56.1</v>
      </c>
      <c r="O680" s="13">
        <v>0</v>
      </c>
      <c r="P680" s="13">
        <v>56.1</v>
      </c>
      <c r="Q680" s="31">
        <f t="shared" si="7"/>
        <v>392.7</v>
      </c>
    </row>
    <row r="681" spans="1:17" ht="90" outlineLevel="2" x14ac:dyDescent="0.2">
      <c r="A681" s="30">
        <v>150108</v>
      </c>
      <c r="B681" s="28"/>
      <c r="C681" s="30">
        <v>923000</v>
      </c>
      <c r="D681" s="59" t="s">
        <v>275</v>
      </c>
      <c r="E681" s="57" t="s">
        <v>15</v>
      </c>
      <c r="F681" s="13">
        <v>489.91</v>
      </c>
      <c r="G681" s="13">
        <v>168</v>
      </c>
      <c r="H681" s="13">
        <v>0</v>
      </c>
      <c r="I681" s="57">
        <v>168</v>
      </c>
      <c r="J681" s="13"/>
      <c r="K681" s="13">
        <v>321.91000000000003</v>
      </c>
      <c r="L681" s="13">
        <v>8.82</v>
      </c>
      <c r="M681" s="13">
        <v>4321</v>
      </c>
      <c r="N681" s="13">
        <v>1481.76</v>
      </c>
      <c r="O681" s="13">
        <v>0</v>
      </c>
      <c r="P681" s="13">
        <v>1481.76</v>
      </c>
      <c r="Q681" s="31">
        <f t="shared" si="7"/>
        <v>2839.2462000000005</v>
      </c>
    </row>
    <row r="682" spans="1:17" ht="105" outlineLevel="2" x14ac:dyDescent="0.2">
      <c r="A682" s="30">
        <v>150109</v>
      </c>
      <c r="B682" s="28"/>
      <c r="C682" s="30">
        <v>925425</v>
      </c>
      <c r="D682" s="59" t="s">
        <v>312</v>
      </c>
      <c r="E682" s="57" t="s">
        <v>20</v>
      </c>
      <c r="F682" s="13">
        <v>1</v>
      </c>
      <c r="G682" s="13">
        <v>0</v>
      </c>
      <c r="H682" s="13">
        <v>0</v>
      </c>
      <c r="I682" s="57">
        <v>0</v>
      </c>
      <c r="J682" s="13"/>
      <c r="K682" s="13">
        <v>1</v>
      </c>
      <c r="L682" s="13">
        <v>175.33</v>
      </c>
      <c r="M682" s="13">
        <v>175.33</v>
      </c>
      <c r="N682" s="13">
        <v>0</v>
      </c>
      <c r="O682" s="13">
        <v>0</v>
      </c>
      <c r="P682" s="13">
        <v>0</v>
      </c>
      <c r="Q682" s="31">
        <f t="shared" si="7"/>
        <v>175.33</v>
      </c>
    </row>
    <row r="683" spans="1:17" ht="45" outlineLevel="2" x14ac:dyDescent="0.2">
      <c r="A683" s="30">
        <v>150110</v>
      </c>
      <c r="B683" s="28"/>
      <c r="C683" s="30">
        <v>925426</v>
      </c>
      <c r="D683" s="59" t="s">
        <v>313</v>
      </c>
      <c r="E683" s="57" t="s">
        <v>15</v>
      </c>
      <c r="F683" s="13">
        <v>289.64</v>
      </c>
      <c r="G683" s="13">
        <v>0</v>
      </c>
      <c r="H683" s="13">
        <v>0</v>
      </c>
      <c r="I683" s="57">
        <v>0</v>
      </c>
      <c r="J683" s="13"/>
      <c r="K683" s="13">
        <v>289.64</v>
      </c>
      <c r="L683" s="13">
        <v>9.02</v>
      </c>
      <c r="M683" s="13">
        <v>2612.5500000000002</v>
      </c>
      <c r="N683" s="13">
        <v>0</v>
      </c>
      <c r="O683" s="13">
        <v>0</v>
      </c>
      <c r="P683" s="13">
        <v>0</v>
      </c>
      <c r="Q683" s="31">
        <f t="shared" si="7"/>
        <v>2612.5527999999999</v>
      </c>
    </row>
    <row r="684" spans="1:17" ht="60" outlineLevel="2" x14ac:dyDescent="0.2">
      <c r="A684" s="30">
        <v>150111</v>
      </c>
      <c r="B684" s="28"/>
      <c r="C684" s="30">
        <v>925427</v>
      </c>
      <c r="D684" s="59" t="s">
        <v>314</v>
      </c>
      <c r="E684" s="57" t="s">
        <v>20</v>
      </c>
      <c r="F684" s="13">
        <v>6</v>
      </c>
      <c r="G684" s="13">
        <v>0</v>
      </c>
      <c r="H684" s="13">
        <v>0</v>
      </c>
      <c r="I684" s="57">
        <v>0</v>
      </c>
      <c r="J684" s="13"/>
      <c r="K684" s="13">
        <v>6</v>
      </c>
      <c r="L684" s="13">
        <v>15508.93</v>
      </c>
      <c r="M684" s="13">
        <v>93053.58</v>
      </c>
      <c r="N684" s="13">
        <v>0</v>
      </c>
      <c r="O684" s="13">
        <v>0</v>
      </c>
      <c r="P684" s="13">
        <v>0</v>
      </c>
      <c r="Q684" s="31">
        <f t="shared" si="7"/>
        <v>93053.58</v>
      </c>
    </row>
    <row r="685" spans="1:17" ht="60" outlineLevel="2" x14ac:dyDescent="0.2">
      <c r="A685" s="30">
        <v>150112</v>
      </c>
      <c r="B685" s="28"/>
      <c r="C685" s="30">
        <v>925428</v>
      </c>
      <c r="D685" s="59" t="s">
        <v>315</v>
      </c>
      <c r="E685" s="57" t="s">
        <v>20</v>
      </c>
      <c r="F685" s="13">
        <v>15</v>
      </c>
      <c r="G685" s="13">
        <v>0</v>
      </c>
      <c r="H685" s="13">
        <v>0</v>
      </c>
      <c r="I685" s="57">
        <v>0</v>
      </c>
      <c r="J685" s="13"/>
      <c r="K685" s="13">
        <v>15</v>
      </c>
      <c r="L685" s="13">
        <v>20.18</v>
      </c>
      <c r="M685" s="13">
        <v>302.7</v>
      </c>
      <c r="N685" s="13">
        <v>0</v>
      </c>
      <c r="O685" s="13">
        <v>0</v>
      </c>
      <c r="P685" s="13">
        <v>0</v>
      </c>
      <c r="Q685" s="31">
        <f t="shared" si="7"/>
        <v>302.7</v>
      </c>
    </row>
    <row r="686" spans="1:17" ht="75" outlineLevel="2" x14ac:dyDescent="0.2">
      <c r="A686" s="30">
        <v>150113</v>
      </c>
      <c r="B686" s="28"/>
      <c r="C686" s="30">
        <v>925429</v>
      </c>
      <c r="D686" s="59" t="s">
        <v>316</v>
      </c>
      <c r="E686" s="57" t="s">
        <v>20</v>
      </c>
      <c r="F686" s="13">
        <v>22</v>
      </c>
      <c r="G686" s="13">
        <v>0</v>
      </c>
      <c r="H686" s="13">
        <v>0</v>
      </c>
      <c r="I686" s="57">
        <v>0</v>
      </c>
      <c r="J686" s="13"/>
      <c r="K686" s="13">
        <v>22</v>
      </c>
      <c r="L686" s="13">
        <v>7.77</v>
      </c>
      <c r="M686" s="13">
        <v>170.94</v>
      </c>
      <c r="N686" s="13">
        <v>0</v>
      </c>
      <c r="O686" s="13">
        <v>0</v>
      </c>
      <c r="P686" s="13">
        <v>0</v>
      </c>
      <c r="Q686" s="31">
        <f t="shared" si="7"/>
        <v>170.94</v>
      </c>
    </row>
    <row r="687" spans="1:17" ht="75" outlineLevel="2" x14ac:dyDescent="0.2">
      <c r="A687" s="30">
        <v>150114</v>
      </c>
      <c r="B687" s="28"/>
      <c r="C687" s="30">
        <v>920544</v>
      </c>
      <c r="D687" s="59" t="s">
        <v>287</v>
      </c>
      <c r="E687" s="57" t="s">
        <v>20</v>
      </c>
      <c r="F687" s="13">
        <v>9</v>
      </c>
      <c r="G687" s="13">
        <v>9</v>
      </c>
      <c r="H687" s="13">
        <v>0</v>
      </c>
      <c r="I687" s="57">
        <v>9</v>
      </c>
      <c r="J687" s="13"/>
      <c r="K687" s="13">
        <v>0</v>
      </c>
      <c r="L687" s="13">
        <v>6.34</v>
      </c>
      <c r="M687" s="13">
        <v>57.06</v>
      </c>
      <c r="N687" s="13">
        <v>57.06</v>
      </c>
      <c r="O687" s="13">
        <v>0</v>
      </c>
      <c r="P687" s="13">
        <v>57.06</v>
      </c>
      <c r="Q687" s="31">
        <f t="shared" si="7"/>
        <v>0</v>
      </c>
    </row>
    <row r="688" spans="1:17" ht="60" outlineLevel="2" x14ac:dyDescent="0.2">
      <c r="A688" s="30">
        <v>150115</v>
      </c>
      <c r="B688" s="28"/>
      <c r="C688" s="30">
        <v>925430</v>
      </c>
      <c r="D688" s="59" t="s">
        <v>317</v>
      </c>
      <c r="E688" s="57" t="s">
        <v>20</v>
      </c>
      <c r="F688" s="13">
        <v>4</v>
      </c>
      <c r="G688" s="13">
        <v>0</v>
      </c>
      <c r="H688" s="13">
        <v>0</v>
      </c>
      <c r="I688" s="57">
        <v>0</v>
      </c>
      <c r="J688" s="13"/>
      <c r="K688" s="13">
        <v>4</v>
      </c>
      <c r="L688" s="13">
        <v>232.84</v>
      </c>
      <c r="M688" s="13">
        <v>931.36</v>
      </c>
      <c r="N688" s="13">
        <v>0</v>
      </c>
      <c r="O688" s="13">
        <v>0</v>
      </c>
      <c r="P688" s="13">
        <v>0</v>
      </c>
      <c r="Q688" s="31">
        <f t="shared" si="7"/>
        <v>931.36</v>
      </c>
    </row>
    <row r="689" spans="1:17" ht="90" outlineLevel="2" x14ac:dyDescent="0.2">
      <c r="A689" s="30">
        <v>150116</v>
      </c>
      <c r="B689" s="28"/>
      <c r="C689" s="30">
        <v>925431</v>
      </c>
      <c r="D689" s="59" t="s">
        <v>318</v>
      </c>
      <c r="E689" s="57" t="s">
        <v>15</v>
      </c>
      <c r="F689" s="13">
        <v>830.96</v>
      </c>
      <c r="G689" s="13">
        <v>0</v>
      </c>
      <c r="H689" s="13">
        <v>0</v>
      </c>
      <c r="I689" s="57">
        <v>0</v>
      </c>
      <c r="J689" s="13"/>
      <c r="K689" s="13">
        <v>830.96</v>
      </c>
      <c r="L689" s="13">
        <v>41.77</v>
      </c>
      <c r="M689" s="13">
        <v>34709.19</v>
      </c>
      <c r="N689" s="13">
        <v>0</v>
      </c>
      <c r="O689" s="13">
        <v>0</v>
      </c>
      <c r="P689" s="13">
        <v>0</v>
      </c>
      <c r="Q689" s="31">
        <f t="shared" si="7"/>
        <v>34709.199200000003</v>
      </c>
    </row>
    <row r="690" spans="1:17" ht="90" outlineLevel="2" x14ac:dyDescent="0.2">
      <c r="A690" s="30">
        <v>150117</v>
      </c>
      <c r="B690" s="28"/>
      <c r="C690" s="30">
        <v>925432</v>
      </c>
      <c r="D690" s="59" t="s">
        <v>319</v>
      </c>
      <c r="E690" s="57" t="s">
        <v>15</v>
      </c>
      <c r="F690" s="13">
        <v>1043.79</v>
      </c>
      <c r="G690" s="13">
        <v>0</v>
      </c>
      <c r="H690" s="13">
        <v>0</v>
      </c>
      <c r="I690" s="57">
        <v>0</v>
      </c>
      <c r="J690" s="13"/>
      <c r="K690" s="13">
        <v>1043.79</v>
      </c>
      <c r="L690" s="13">
        <v>51.6</v>
      </c>
      <c r="M690" s="13">
        <v>53859.56</v>
      </c>
      <c r="N690" s="13">
        <v>0</v>
      </c>
      <c r="O690" s="13">
        <v>0</v>
      </c>
      <c r="P690" s="13">
        <v>0</v>
      </c>
      <c r="Q690" s="31">
        <f t="shared" si="7"/>
        <v>53859.563999999998</v>
      </c>
    </row>
    <row r="691" spans="1:17" ht="60" outlineLevel="2" x14ac:dyDescent="0.2">
      <c r="A691" s="30">
        <v>150118</v>
      </c>
      <c r="B691" s="28"/>
      <c r="C691" s="30">
        <v>925433</v>
      </c>
      <c r="D691" s="59" t="s">
        <v>320</v>
      </c>
      <c r="E691" s="57" t="s">
        <v>20</v>
      </c>
      <c r="F691" s="13">
        <v>45</v>
      </c>
      <c r="G691" s="13">
        <v>0</v>
      </c>
      <c r="H691" s="13">
        <v>0</v>
      </c>
      <c r="I691" s="57">
        <v>0</v>
      </c>
      <c r="J691" s="13"/>
      <c r="K691" s="13">
        <v>45</v>
      </c>
      <c r="L691" s="13">
        <v>46.24</v>
      </c>
      <c r="M691" s="13">
        <v>2080.8000000000002</v>
      </c>
      <c r="N691" s="13">
        <v>0</v>
      </c>
      <c r="O691" s="13">
        <v>0</v>
      </c>
      <c r="P691" s="13">
        <v>0</v>
      </c>
      <c r="Q691" s="31">
        <f t="shared" si="7"/>
        <v>2080.8000000000002</v>
      </c>
    </row>
    <row r="692" spans="1:17" ht="45" outlineLevel="2" x14ac:dyDescent="0.2">
      <c r="A692" s="30">
        <v>150119</v>
      </c>
      <c r="B692" s="28"/>
      <c r="C692" s="30">
        <v>500006</v>
      </c>
      <c r="D692" s="59" t="s">
        <v>321</v>
      </c>
      <c r="E692" s="57" t="s">
        <v>30</v>
      </c>
      <c r="F692" s="13">
        <v>45</v>
      </c>
      <c r="G692" s="13">
        <v>8</v>
      </c>
      <c r="H692" s="13">
        <v>0</v>
      </c>
      <c r="I692" s="57">
        <v>8</v>
      </c>
      <c r="J692" s="13"/>
      <c r="K692" s="13">
        <v>37</v>
      </c>
      <c r="L692" s="13">
        <v>144.04</v>
      </c>
      <c r="M692" s="13">
        <v>6481.8</v>
      </c>
      <c r="N692" s="13">
        <v>1152.32</v>
      </c>
      <c r="O692" s="13">
        <v>0</v>
      </c>
      <c r="P692" s="13">
        <v>1152.32</v>
      </c>
      <c r="Q692" s="31">
        <f t="shared" si="7"/>
        <v>5329.48</v>
      </c>
    </row>
    <row r="693" spans="1:17" ht="60" outlineLevel="2" x14ac:dyDescent="0.2">
      <c r="A693" s="30">
        <v>150120</v>
      </c>
      <c r="B693" s="28"/>
      <c r="C693" s="30">
        <v>925434</v>
      </c>
      <c r="D693" s="59" t="s">
        <v>322</v>
      </c>
      <c r="E693" s="57" t="s">
        <v>20</v>
      </c>
      <c r="F693" s="13">
        <v>90</v>
      </c>
      <c r="G693" s="13">
        <v>0</v>
      </c>
      <c r="H693" s="13">
        <v>0</v>
      </c>
      <c r="I693" s="57">
        <v>0</v>
      </c>
      <c r="J693" s="13"/>
      <c r="K693" s="13">
        <v>90</v>
      </c>
      <c r="L693" s="13">
        <v>33.909999999999997</v>
      </c>
      <c r="M693" s="13">
        <v>3051.9</v>
      </c>
      <c r="N693" s="13">
        <v>0</v>
      </c>
      <c r="O693" s="13">
        <v>0</v>
      </c>
      <c r="P693" s="13">
        <v>0</v>
      </c>
      <c r="Q693" s="31">
        <f t="shared" ref="Q693:Q761" si="8">PRODUCT(K693,L693)</f>
        <v>3051.8999999999996</v>
      </c>
    </row>
    <row r="694" spans="1:17" ht="45" outlineLevel="2" x14ac:dyDescent="0.2">
      <c r="A694" s="30">
        <v>150121</v>
      </c>
      <c r="B694" s="28"/>
      <c r="C694" s="30">
        <v>925435</v>
      </c>
      <c r="D694" s="59" t="s">
        <v>323</v>
      </c>
      <c r="E694" s="57" t="s">
        <v>20</v>
      </c>
      <c r="F694" s="13">
        <v>39</v>
      </c>
      <c r="G694" s="13">
        <v>0</v>
      </c>
      <c r="H694" s="13">
        <v>0</v>
      </c>
      <c r="I694" s="57">
        <v>0</v>
      </c>
      <c r="J694" s="13"/>
      <c r="K694" s="13">
        <v>39</v>
      </c>
      <c r="L694" s="13">
        <v>23.05</v>
      </c>
      <c r="M694" s="13">
        <v>898.95</v>
      </c>
      <c r="N694" s="13">
        <v>0</v>
      </c>
      <c r="O694" s="13">
        <v>0</v>
      </c>
      <c r="P694" s="13">
        <v>0</v>
      </c>
      <c r="Q694" s="31">
        <f t="shared" si="8"/>
        <v>898.95</v>
      </c>
    </row>
    <row r="695" spans="1:17" ht="75" outlineLevel="2" x14ac:dyDescent="0.2">
      <c r="A695" s="30">
        <v>150122</v>
      </c>
      <c r="B695" s="28"/>
      <c r="C695" s="30">
        <v>925436</v>
      </c>
      <c r="D695" s="59" t="s">
        <v>324</v>
      </c>
      <c r="E695" s="57" t="s">
        <v>20</v>
      </c>
      <c r="F695" s="13">
        <v>39</v>
      </c>
      <c r="G695" s="13">
        <v>0</v>
      </c>
      <c r="H695" s="13">
        <v>0</v>
      </c>
      <c r="I695" s="57">
        <v>0</v>
      </c>
      <c r="J695" s="13"/>
      <c r="K695" s="13">
        <v>39</v>
      </c>
      <c r="L695" s="13">
        <v>31.5</v>
      </c>
      <c r="M695" s="13">
        <v>1228.5</v>
      </c>
      <c r="N695" s="13">
        <v>0</v>
      </c>
      <c r="O695" s="13">
        <v>0</v>
      </c>
      <c r="P695" s="13">
        <v>0</v>
      </c>
      <c r="Q695" s="31">
        <f t="shared" si="8"/>
        <v>1228.5</v>
      </c>
    </row>
    <row r="696" spans="1:17" ht="90" outlineLevel="2" x14ac:dyDescent="0.2">
      <c r="A696" s="30">
        <v>150123</v>
      </c>
      <c r="B696" s="28"/>
      <c r="C696" s="30">
        <v>925437</v>
      </c>
      <c r="D696" s="59" t="s">
        <v>325</v>
      </c>
      <c r="E696" s="57" t="s">
        <v>20</v>
      </c>
      <c r="F696" s="13">
        <v>2</v>
      </c>
      <c r="G696" s="13">
        <v>0</v>
      </c>
      <c r="H696" s="13">
        <v>0</v>
      </c>
      <c r="I696" s="57">
        <v>0</v>
      </c>
      <c r="J696" s="13"/>
      <c r="K696" s="13">
        <v>2</v>
      </c>
      <c r="L696" s="13">
        <v>321.73</v>
      </c>
      <c r="M696" s="13">
        <v>643.46</v>
      </c>
      <c r="N696" s="13">
        <v>0</v>
      </c>
      <c r="O696" s="13">
        <v>0</v>
      </c>
      <c r="P696" s="13">
        <v>0</v>
      </c>
      <c r="Q696" s="31">
        <f t="shared" si="8"/>
        <v>643.46</v>
      </c>
    </row>
    <row r="697" spans="1:17" ht="105" outlineLevel="2" x14ac:dyDescent="0.2">
      <c r="A697" s="30">
        <v>150124</v>
      </c>
      <c r="B697" s="28"/>
      <c r="C697" s="30">
        <v>925438</v>
      </c>
      <c r="D697" s="59" t="s">
        <v>326</v>
      </c>
      <c r="E697" s="57" t="s">
        <v>20</v>
      </c>
      <c r="F697" s="13">
        <v>1</v>
      </c>
      <c r="G697" s="13">
        <v>0</v>
      </c>
      <c r="H697" s="13">
        <v>0</v>
      </c>
      <c r="I697" s="57">
        <v>0</v>
      </c>
      <c r="J697" s="13"/>
      <c r="K697" s="13">
        <v>1</v>
      </c>
      <c r="L697" s="13">
        <v>116.92</v>
      </c>
      <c r="M697" s="13">
        <v>116.92</v>
      </c>
      <c r="N697" s="13">
        <v>0</v>
      </c>
      <c r="O697" s="13">
        <v>0</v>
      </c>
      <c r="P697" s="13">
        <v>0</v>
      </c>
      <c r="Q697" s="31">
        <f t="shared" si="8"/>
        <v>116.92</v>
      </c>
    </row>
    <row r="698" spans="1:17" ht="105" outlineLevel="2" x14ac:dyDescent="0.2">
      <c r="A698" s="30">
        <v>150125</v>
      </c>
      <c r="B698" s="28"/>
      <c r="C698" s="30">
        <v>925439</v>
      </c>
      <c r="D698" s="59" t="s">
        <v>327</v>
      </c>
      <c r="E698" s="57" t="s">
        <v>20</v>
      </c>
      <c r="F698" s="13">
        <v>2</v>
      </c>
      <c r="G698" s="13">
        <v>0</v>
      </c>
      <c r="H698" s="13">
        <v>0</v>
      </c>
      <c r="I698" s="57">
        <v>0</v>
      </c>
      <c r="J698" s="13"/>
      <c r="K698" s="13">
        <v>2</v>
      </c>
      <c r="L698" s="13">
        <v>186.54</v>
      </c>
      <c r="M698" s="13">
        <v>373.08</v>
      </c>
      <c r="N698" s="13">
        <v>0</v>
      </c>
      <c r="O698" s="13">
        <v>0</v>
      </c>
      <c r="P698" s="13">
        <v>0</v>
      </c>
      <c r="Q698" s="31">
        <f t="shared" si="8"/>
        <v>373.08</v>
      </c>
    </row>
    <row r="699" spans="1:17" ht="75" outlineLevel="2" x14ac:dyDescent="0.2">
      <c r="A699" s="30">
        <v>150126</v>
      </c>
      <c r="B699" s="28"/>
      <c r="C699" s="30">
        <v>925440</v>
      </c>
      <c r="D699" s="59" t="s">
        <v>328</v>
      </c>
      <c r="E699" s="57" t="s">
        <v>20</v>
      </c>
      <c r="F699" s="13">
        <v>1</v>
      </c>
      <c r="G699" s="13">
        <v>0</v>
      </c>
      <c r="H699" s="13">
        <v>0</v>
      </c>
      <c r="I699" s="57">
        <v>0</v>
      </c>
      <c r="J699" s="13"/>
      <c r="K699" s="13">
        <v>1</v>
      </c>
      <c r="L699" s="13">
        <v>207.62</v>
      </c>
      <c r="M699" s="13">
        <v>207.62</v>
      </c>
      <c r="N699" s="13">
        <v>0</v>
      </c>
      <c r="O699" s="13">
        <v>0</v>
      </c>
      <c r="P699" s="13">
        <v>0</v>
      </c>
      <c r="Q699" s="31">
        <f t="shared" si="8"/>
        <v>207.62</v>
      </c>
    </row>
    <row r="700" spans="1:17" ht="90" outlineLevel="2" x14ac:dyDescent="0.2">
      <c r="A700" s="30">
        <v>150127</v>
      </c>
      <c r="B700" s="28"/>
      <c r="C700" s="30">
        <v>925441</v>
      </c>
      <c r="D700" s="59" t="s">
        <v>329</v>
      </c>
      <c r="E700" s="57" t="s">
        <v>20</v>
      </c>
      <c r="F700" s="13">
        <v>6</v>
      </c>
      <c r="G700" s="13">
        <v>0</v>
      </c>
      <c r="H700" s="13">
        <v>0</v>
      </c>
      <c r="I700" s="57">
        <v>0</v>
      </c>
      <c r="J700" s="13"/>
      <c r="K700" s="13">
        <v>6</v>
      </c>
      <c r="L700" s="13">
        <v>28.51</v>
      </c>
      <c r="M700" s="13">
        <v>171.06</v>
      </c>
      <c r="N700" s="13">
        <v>0</v>
      </c>
      <c r="O700" s="13">
        <v>0</v>
      </c>
      <c r="P700" s="13">
        <v>0</v>
      </c>
      <c r="Q700" s="31">
        <f t="shared" si="8"/>
        <v>171.06</v>
      </c>
    </row>
    <row r="701" spans="1:17" ht="45" outlineLevel="2" x14ac:dyDescent="0.2">
      <c r="A701" s="30">
        <v>150128</v>
      </c>
      <c r="B701" s="28"/>
      <c r="C701" s="30">
        <v>948008</v>
      </c>
      <c r="D701" s="59" t="s">
        <v>330</v>
      </c>
      <c r="E701" s="57" t="s">
        <v>20</v>
      </c>
      <c r="F701" s="13">
        <v>13</v>
      </c>
      <c r="G701" s="13">
        <v>0</v>
      </c>
      <c r="H701" s="13">
        <v>0</v>
      </c>
      <c r="I701" s="57">
        <v>0</v>
      </c>
      <c r="J701" s="13"/>
      <c r="K701" s="13">
        <v>13</v>
      </c>
      <c r="L701" s="13">
        <v>539.01</v>
      </c>
      <c r="M701" s="13">
        <v>7007.13</v>
      </c>
      <c r="N701" s="13">
        <v>0</v>
      </c>
      <c r="O701" s="13">
        <v>0</v>
      </c>
      <c r="P701" s="13">
        <v>0</v>
      </c>
      <c r="Q701" s="31">
        <f t="shared" si="8"/>
        <v>7007.13</v>
      </c>
    </row>
    <row r="702" spans="1:17" ht="75" outlineLevel="2" x14ac:dyDescent="0.2">
      <c r="A702" s="30">
        <v>150129</v>
      </c>
      <c r="B702" s="28"/>
      <c r="C702" s="30">
        <v>950209</v>
      </c>
      <c r="D702" s="59" t="s">
        <v>331</v>
      </c>
      <c r="E702" s="57" t="s">
        <v>10</v>
      </c>
      <c r="F702" s="13">
        <v>13</v>
      </c>
      <c r="G702" s="13">
        <v>0</v>
      </c>
      <c r="H702" s="13">
        <v>0</v>
      </c>
      <c r="I702" s="57">
        <v>0</v>
      </c>
      <c r="J702" s="13"/>
      <c r="K702" s="13">
        <v>13</v>
      </c>
      <c r="L702" s="13">
        <v>27.6</v>
      </c>
      <c r="M702" s="13">
        <v>358.8</v>
      </c>
      <c r="N702" s="13">
        <v>0</v>
      </c>
      <c r="O702" s="13">
        <v>0</v>
      </c>
      <c r="P702" s="13">
        <v>0</v>
      </c>
      <c r="Q702" s="31">
        <f t="shared" si="8"/>
        <v>358.8</v>
      </c>
    </row>
    <row r="703" spans="1:17" ht="150" outlineLevel="2" x14ac:dyDescent="0.2">
      <c r="A703" s="30">
        <v>150130</v>
      </c>
      <c r="B703" s="28"/>
      <c r="C703" s="30">
        <v>925442</v>
      </c>
      <c r="D703" s="59" t="s">
        <v>332</v>
      </c>
      <c r="E703" s="57" t="s">
        <v>31</v>
      </c>
      <c r="F703" s="13">
        <v>49</v>
      </c>
      <c r="G703" s="13">
        <v>0</v>
      </c>
      <c r="H703" s="13">
        <v>0</v>
      </c>
      <c r="I703" s="57">
        <v>0</v>
      </c>
      <c r="J703" s="13"/>
      <c r="K703" s="13">
        <v>49</v>
      </c>
      <c r="L703" s="13">
        <v>57.28</v>
      </c>
      <c r="M703" s="13">
        <v>2806.72</v>
      </c>
      <c r="N703" s="13">
        <v>0</v>
      </c>
      <c r="O703" s="13">
        <v>0</v>
      </c>
      <c r="P703" s="13">
        <v>0</v>
      </c>
      <c r="Q703" s="31">
        <f t="shared" si="8"/>
        <v>2806.7200000000003</v>
      </c>
    </row>
    <row r="704" spans="1:17" ht="120" outlineLevel="2" x14ac:dyDescent="0.2">
      <c r="A704" s="30">
        <v>150131</v>
      </c>
      <c r="B704" s="28"/>
      <c r="C704" s="30">
        <v>925443</v>
      </c>
      <c r="D704" s="59" t="s">
        <v>333</v>
      </c>
      <c r="E704" s="57" t="s">
        <v>20</v>
      </c>
      <c r="F704" s="13">
        <v>13</v>
      </c>
      <c r="G704" s="13">
        <v>0</v>
      </c>
      <c r="H704" s="13">
        <v>0</v>
      </c>
      <c r="I704" s="57">
        <v>0</v>
      </c>
      <c r="J704" s="13"/>
      <c r="K704" s="13">
        <v>13</v>
      </c>
      <c r="L704" s="13">
        <v>45.5</v>
      </c>
      <c r="M704" s="13">
        <v>591.5</v>
      </c>
      <c r="N704" s="13">
        <v>0</v>
      </c>
      <c r="O704" s="13">
        <v>0</v>
      </c>
      <c r="P704" s="13">
        <v>0</v>
      </c>
      <c r="Q704" s="31">
        <f t="shared" si="8"/>
        <v>591.5</v>
      </c>
    </row>
    <row r="705" spans="1:17" ht="75" outlineLevel="2" x14ac:dyDescent="0.2">
      <c r="A705" s="30">
        <v>150132</v>
      </c>
      <c r="B705" s="28"/>
      <c r="C705" s="30">
        <v>925444</v>
      </c>
      <c r="D705" s="59" t="s">
        <v>334</v>
      </c>
      <c r="E705" s="57" t="s">
        <v>20</v>
      </c>
      <c r="F705" s="13">
        <v>38</v>
      </c>
      <c r="G705" s="13">
        <v>0</v>
      </c>
      <c r="H705" s="13">
        <v>0</v>
      </c>
      <c r="I705" s="57">
        <v>0</v>
      </c>
      <c r="J705" s="13"/>
      <c r="K705" s="13">
        <v>38</v>
      </c>
      <c r="L705" s="13">
        <v>47.91</v>
      </c>
      <c r="M705" s="13">
        <v>1820.58</v>
      </c>
      <c r="N705" s="13">
        <v>0</v>
      </c>
      <c r="O705" s="13">
        <v>0</v>
      </c>
      <c r="P705" s="13">
        <v>0</v>
      </c>
      <c r="Q705" s="31">
        <f t="shared" si="8"/>
        <v>1820.58</v>
      </c>
    </row>
    <row r="706" spans="1:17" ht="120" outlineLevel="2" x14ac:dyDescent="0.2">
      <c r="A706" s="30">
        <v>150133</v>
      </c>
      <c r="B706" s="28"/>
      <c r="C706" s="30">
        <v>920404</v>
      </c>
      <c r="D706" s="59" t="s">
        <v>335</v>
      </c>
      <c r="E706" s="57" t="s">
        <v>15</v>
      </c>
      <c r="F706" s="13">
        <v>7</v>
      </c>
      <c r="G706" s="13">
        <v>0</v>
      </c>
      <c r="H706" s="13">
        <v>0</v>
      </c>
      <c r="I706" s="57">
        <v>0</v>
      </c>
      <c r="J706" s="13"/>
      <c r="K706" s="13">
        <v>7</v>
      </c>
      <c r="L706" s="13">
        <v>22.99</v>
      </c>
      <c r="M706" s="13">
        <v>160.93</v>
      </c>
      <c r="N706" s="13">
        <v>0</v>
      </c>
      <c r="O706" s="13">
        <v>0</v>
      </c>
      <c r="P706" s="13">
        <v>0</v>
      </c>
      <c r="Q706" s="31">
        <f t="shared" si="8"/>
        <v>160.92999999999998</v>
      </c>
    </row>
    <row r="707" spans="1:17" ht="120" outlineLevel="2" x14ac:dyDescent="0.2">
      <c r="A707" s="30">
        <v>150134</v>
      </c>
      <c r="B707" s="28"/>
      <c r="C707" s="30">
        <v>920402</v>
      </c>
      <c r="D707" s="59" t="s">
        <v>336</v>
      </c>
      <c r="E707" s="57" t="s">
        <v>20</v>
      </c>
      <c r="F707" s="13">
        <v>2</v>
      </c>
      <c r="G707" s="13">
        <v>0</v>
      </c>
      <c r="H707" s="13">
        <v>0</v>
      </c>
      <c r="I707" s="57">
        <v>0</v>
      </c>
      <c r="J707" s="13"/>
      <c r="K707" s="13">
        <v>2</v>
      </c>
      <c r="L707" s="13">
        <v>20.59</v>
      </c>
      <c r="M707" s="13">
        <v>41.18</v>
      </c>
      <c r="N707" s="13">
        <v>0</v>
      </c>
      <c r="O707" s="13">
        <v>0</v>
      </c>
      <c r="P707" s="13">
        <v>0</v>
      </c>
      <c r="Q707" s="31">
        <f t="shared" si="8"/>
        <v>41.18</v>
      </c>
    </row>
    <row r="708" spans="1:17" ht="75" outlineLevel="2" x14ac:dyDescent="0.2">
      <c r="A708" s="30">
        <v>150135</v>
      </c>
      <c r="B708" s="28"/>
      <c r="C708" s="30">
        <v>925445</v>
      </c>
      <c r="D708" s="59" t="s">
        <v>337</v>
      </c>
      <c r="E708" s="57" t="s">
        <v>15</v>
      </c>
      <c r="F708" s="13">
        <v>7</v>
      </c>
      <c r="G708" s="13">
        <v>0</v>
      </c>
      <c r="H708" s="13">
        <v>0</v>
      </c>
      <c r="I708" s="57">
        <v>0</v>
      </c>
      <c r="J708" s="13"/>
      <c r="K708" s="13">
        <v>7</v>
      </c>
      <c r="L708" s="13">
        <v>7.15</v>
      </c>
      <c r="M708" s="13">
        <v>50.05</v>
      </c>
      <c r="N708" s="13">
        <v>0</v>
      </c>
      <c r="O708" s="13">
        <v>0</v>
      </c>
      <c r="P708" s="13">
        <v>0</v>
      </c>
      <c r="Q708" s="31">
        <f t="shared" si="8"/>
        <v>50.050000000000004</v>
      </c>
    </row>
    <row r="709" spans="1:17" ht="135" outlineLevel="2" x14ac:dyDescent="0.2">
      <c r="A709" s="30">
        <v>150136</v>
      </c>
      <c r="B709" s="28"/>
      <c r="C709" s="30">
        <v>922253</v>
      </c>
      <c r="D709" s="59" t="s">
        <v>338</v>
      </c>
      <c r="E709" s="57" t="s">
        <v>20</v>
      </c>
      <c r="F709" s="13">
        <v>6</v>
      </c>
      <c r="G709" s="13">
        <v>0</v>
      </c>
      <c r="H709" s="13">
        <v>0</v>
      </c>
      <c r="I709" s="57">
        <v>0</v>
      </c>
      <c r="J709" s="13"/>
      <c r="K709" s="13">
        <v>6</v>
      </c>
      <c r="L709" s="13">
        <v>55.9</v>
      </c>
      <c r="M709" s="13">
        <v>335.4</v>
      </c>
      <c r="N709" s="13">
        <v>0</v>
      </c>
      <c r="O709" s="13">
        <v>0</v>
      </c>
      <c r="P709" s="13">
        <v>0</v>
      </c>
      <c r="Q709" s="31">
        <f t="shared" si="8"/>
        <v>335.4</v>
      </c>
    </row>
    <row r="710" spans="1:17" ht="60" outlineLevel="2" x14ac:dyDescent="0.2">
      <c r="A710" s="30">
        <v>150137</v>
      </c>
      <c r="B710" s="28"/>
      <c r="C710" s="30">
        <v>925446</v>
      </c>
      <c r="D710" s="59" t="s">
        <v>339</v>
      </c>
      <c r="E710" s="57" t="s">
        <v>20</v>
      </c>
      <c r="F710" s="13">
        <v>1</v>
      </c>
      <c r="G710" s="13">
        <v>0</v>
      </c>
      <c r="H710" s="13">
        <v>0</v>
      </c>
      <c r="I710" s="57">
        <v>0</v>
      </c>
      <c r="J710" s="13"/>
      <c r="K710" s="13">
        <v>1</v>
      </c>
      <c r="L710" s="13">
        <v>628.30999999999995</v>
      </c>
      <c r="M710" s="13">
        <v>628.30999999999995</v>
      </c>
      <c r="N710" s="13">
        <v>0</v>
      </c>
      <c r="O710" s="13">
        <v>0</v>
      </c>
      <c r="P710" s="13">
        <v>0</v>
      </c>
      <c r="Q710" s="31">
        <f t="shared" si="8"/>
        <v>628.30999999999995</v>
      </c>
    </row>
    <row r="711" spans="1:17" ht="45" outlineLevel="2" x14ac:dyDescent="0.2">
      <c r="A711" s="30">
        <v>150138</v>
      </c>
      <c r="B711" s="28"/>
      <c r="C711" s="30">
        <v>925447</v>
      </c>
      <c r="D711" s="59" t="s">
        <v>340</v>
      </c>
      <c r="E711" s="57" t="s">
        <v>20</v>
      </c>
      <c r="F711" s="13">
        <v>4</v>
      </c>
      <c r="G711" s="13">
        <v>0</v>
      </c>
      <c r="H711" s="13">
        <v>0</v>
      </c>
      <c r="I711" s="57">
        <v>0</v>
      </c>
      <c r="J711" s="13"/>
      <c r="K711" s="13">
        <v>4</v>
      </c>
      <c r="L711" s="13">
        <v>42.32</v>
      </c>
      <c r="M711" s="13">
        <v>169.28</v>
      </c>
      <c r="N711" s="13">
        <v>0</v>
      </c>
      <c r="O711" s="13">
        <v>0</v>
      </c>
      <c r="P711" s="13">
        <v>0</v>
      </c>
      <c r="Q711" s="31">
        <f t="shared" si="8"/>
        <v>169.28</v>
      </c>
    </row>
    <row r="712" spans="1:17" ht="60" outlineLevel="2" x14ac:dyDescent="0.2">
      <c r="A712" s="30">
        <v>150139</v>
      </c>
      <c r="B712" s="28"/>
      <c r="C712" s="30">
        <v>950321</v>
      </c>
      <c r="D712" s="59" t="s">
        <v>341</v>
      </c>
      <c r="E712" s="57" t="s">
        <v>10</v>
      </c>
      <c r="F712" s="13">
        <v>1</v>
      </c>
      <c r="G712" s="13">
        <v>0</v>
      </c>
      <c r="H712" s="13">
        <v>0</v>
      </c>
      <c r="I712" s="57">
        <v>0</v>
      </c>
      <c r="J712" s="13"/>
      <c r="K712" s="13">
        <v>1</v>
      </c>
      <c r="L712" s="13">
        <v>117.95</v>
      </c>
      <c r="M712" s="13">
        <v>117.95</v>
      </c>
      <c r="N712" s="13">
        <v>0</v>
      </c>
      <c r="O712" s="13">
        <v>0</v>
      </c>
      <c r="P712" s="13">
        <v>0</v>
      </c>
      <c r="Q712" s="31">
        <f t="shared" si="8"/>
        <v>117.95</v>
      </c>
    </row>
    <row r="713" spans="1:17" ht="90" outlineLevel="2" x14ac:dyDescent="0.2">
      <c r="A713" s="30">
        <v>150140</v>
      </c>
      <c r="B713" s="28"/>
      <c r="C713" s="30">
        <v>923368</v>
      </c>
      <c r="D713" s="59" t="s">
        <v>342</v>
      </c>
      <c r="E713" s="57" t="s">
        <v>15</v>
      </c>
      <c r="F713" s="13">
        <v>6</v>
      </c>
      <c r="G713" s="13">
        <v>0</v>
      </c>
      <c r="H713" s="13">
        <v>0</v>
      </c>
      <c r="I713" s="57">
        <v>0</v>
      </c>
      <c r="J713" s="13"/>
      <c r="K713" s="13">
        <v>6</v>
      </c>
      <c r="L713" s="13">
        <v>46.12</v>
      </c>
      <c r="M713" s="13">
        <v>276.72000000000003</v>
      </c>
      <c r="N713" s="13">
        <v>0</v>
      </c>
      <c r="O713" s="13">
        <v>0</v>
      </c>
      <c r="P713" s="13">
        <v>0</v>
      </c>
      <c r="Q713" s="31">
        <f t="shared" si="8"/>
        <v>276.71999999999997</v>
      </c>
    </row>
    <row r="714" spans="1:17" ht="45" outlineLevel="2" x14ac:dyDescent="0.2">
      <c r="A714" s="30">
        <v>150141</v>
      </c>
      <c r="B714" s="28"/>
      <c r="C714" s="30">
        <v>925448</v>
      </c>
      <c r="D714" s="59" t="s">
        <v>343</v>
      </c>
      <c r="E714" s="57" t="s">
        <v>20</v>
      </c>
      <c r="F714" s="13">
        <v>4</v>
      </c>
      <c r="G714" s="13">
        <v>0</v>
      </c>
      <c r="H714" s="13">
        <v>0</v>
      </c>
      <c r="I714" s="57">
        <v>0</v>
      </c>
      <c r="J714" s="13"/>
      <c r="K714" s="13">
        <v>4</v>
      </c>
      <c r="L714" s="13">
        <v>38.92</v>
      </c>
      <c r="M714" s="13">
        <v>155.68</v>
      </c>
      <c r="N714" s="13">
        <v>0</v>
      </c>
      <c r="O714" s="13">
        <v>0</v>
      </c>
      <c r="P714" s="13">
        <v>0</v>
      </c>
      <c r="Q714" s="31">
        <f t="shared" si="8"/>
        <v>155.68</v>
      </c>
    </row>
    <row r="715" spans="1:17" ht="30" outlineLevel="2" x14ac:dyDescent="0.2">
      <c r="A715" s="30">
        <v>150142</v>
      </c>
      <c r="B715" s="28"/>
      <c r="C715" s="30">
        <v>921119</v>
      </c>
      <c r="D715" s="59" t="s">
        <v>63</v>
      </c>
      <c r="E715" s="57" t="s">
        <v>11</v>
      </c>
      <c r="F715" s="13">
        <v>0.95</v>
      </c>
      <c r="G715" s="13">
        <v>0</v>
      </c>
      <c r="H715" s="13">
        <v>0</v>
      </c>
      <c r="I715" s="57">
        <v>0</v>
      </c>
      <c r="J715" s="13"/>
      <c r="K715" s="13">
        <v>0.95</v>
      </c>
      <c r="L715" s="13">
        <v>54.83</v>
      </c>
      <c r="M715" s="13">
        <v>52.08</v>
      </c>
      <c r="N715" s="13">
        <v>0</v>
      </c>
      <c r="O715" s="13">
        <v>0</v>
      </c>
      <c r="P715" s="13">
        <v>0</v>
      </c>
      <c r="Q715" s="31">
        <f t="shared" si="8"/>
        <v>52.088499999999996</v>
      </c>
    </row>
    <row r="716" spans="1:17" ht="60" outlineLevel="2" x14ac:dyDescent="0.2">
      <c r="A716" s="30">
        <v>150143</v>
      </c>
      <c r="B716" s="28"/>
      <c r="C716" s="30">
        <v>296692</v>
      </c>
      <c r="D716" s="59" t="s">
        <v>344</v>
      </c>
      <c r="E716" s="57" t="s">
        <v>24</v>
      </c>
      <c r="F716" s="13">
        <v>1.35</v>
      </c>
      <c r="G716" s="13">
        <v>0</v>
      </c>
      <c r="H716" s="13">
        <v>0</v>
      </c>
      <c r="I716" s="57">
        <v>0</v>
      </c>
      <c r="J716" s="13"/>
      <c r="K716" s="13">
        <v>1.35</v>
      </c>
      <c r="L716" s="13">
        <v>4.04</v>
      </c>
      <c r="M716" s="13">
        <v>5.45</v>
      </c>
      <c r="N716" s="13">
        <v>0</v>
      </c>
      <c r="O716" s="13">
        <v>0</v>
      </c>
      <c r="P716" s="13">
        <v>0</v>
      </c>
      <c r="Q716" s="31">
        <f t="shared" si="8"/>
        <v>5.4540000000000006</v>
      </c>
    </row>
    <row r="717" spans="1:17" ht="45" outlineLevel="2" x14ac:dyDescent="0.2">
      <c r="A717" s="30">
        <v>150144</v>
      </c>
      <c r="B717" s="28"/>
      <c r="C717" s="30">
        <v>925449</v>
      </c>
      <c r="D717" s="59" t="s">
        <v>345</v>
      </c>
      <c r="E717" s="57" t="s">
        <v>11</v>
      </c>
      <c r="F717" s="13">
        <v>0.16</v>
      </c>
      <c r="G717" s="13">
        <v>0</v>
      </c>
      <c r="H717" s="13">
        <v>0</v>
      </c>
      <c r="I717" s="57">
        <v>0</v>
      </c>
      <c r="J717" s="13"/>
      <c r="K717" s="13">
        <v>0.16</v>
      </c>
      <c r="L717" s="13">
        <v>79.260000000000005</v>
      </c>
      <c r="M717" s="13">
        <v>12.68</v>
      </c>
      <c r="N717" s="13">
        <v>0</v>
      </c>
      <c r="O717" s="13">
        <v>0</v>
      </c>
      <c r="P717" s="13">
        <v>0</v>
      </c>
      <c r="Q717" s="31">
        <f t="shared" si="8"/>
        <v>12.681600000000001</v>
      </c>
    </row>
    <row r="718" spans="1:17" ht="75" outlineLevel="2" x14ac:dyDescent="0.2">
      <c r="A718" s="30">
        <v>150145</v>
      </c>
      <c r="B718" s="28"/>
      <c r="C718" s="30">
        <v>925450</v>
      </c>
      <c r="D718" s="59" t="s">
        <v>346</v>
      </c>
      <c r="E718" s="57" t="s">
        <v>10</v>
      </c>
      <c r="F718" s="13">
        <v>5.4</v>
      </c>
      <c r="G718" s="13">
        <v>0</v>
      </c>
      <c r="H718" s="13">
        <v>0</v>
      </c>
      <c r="I718" s="57">
        <v>0</v>
      </c>
      <c r="J718" s="13"/>
      <c r="K718" s="13">
        <v>5.4</v>
      </c>
      <c r="L718" s="13">
        <v>53.22</v>
      </c>
      <c r="M718" s="13">
        <v>287.38</v>
      </c>
      <c r="N718" s="13">
        <v>0</v>
      </c>
      <c r="O718" s="13">
        <v>0</v>
      </c>
      <c r="P718" s="13">
        <v>0</v>
      </c>
      <c r="Q718" s="31">
        <f t="shared" si="8"/>
        <v>287.38800000000003</v>
      </c>
    </row>
    <row r="719" spans="1:17" ht="60" outlineLevel="2" x14ac:dyDescent="0.2">
      <c r="A719" s="30">
        <v>150146</v>
      </c>
      <c r="B719" s="28"/>
      <c r="C719" s="30">
        <v>925451</v>
      </c>
      <c r="D719" s="59" t="s">
        <v>347</v>
      </c>
      <c r="E719" s="57" t="s">
        <v>11</v>
      </c>
      <c r="F719" s="13">
        <v>0.77</v>
      </c>
      <c r="G719" s="13">
        <v>0</v>
      </c>
      <c r="H719" s="13">
        <v>0</v>
      </c>
      <c r="I719" s="57">
        <v>0</v>
      </c>
      <c r="J719" s="13"/>
      <c r="K719" s="13">
        <v>0.77</v>
      </c>
      <c r="L719" s="13">
        <v>311.18</v>
      </c>
      <c r="M719" s="13">
        <v>239.6</v>
      </c>
      <c r="N719" s="13">
        <v>0</v>
      </c>
      <c r="O719" s="13">
        <v>0</v>
      </c>
      <c r="P719" s="13">
        <v>0</v>
      </c>
      <c r="Q719" s="31">
        <f t="shared" si="8"/>
        <v>239.60860000000002</v>
      </c>
    </row>
    <row r="720" spans="1:17" ht="90" outlineLevel="2" x14ac:dyDescent="0.2">
      <c r="A720" s="30">
        <v>150147</v>
      </c>
      <c r="B720" s="28"/>
      <c r="C720" s="30">
        <v>925452</v>
      </c>
      <c r="D720" s="59" t="s">
        <v>348</v>
      </c>
      <c r="E720" s="57" t="s">
        <v>16</v>
      </c>
      <c r="F720" s="13">
        <v>15.3</v>
      </c>
      <c r="G720" s="13">
        <v>0</v>
      </c>
      <c r="H720" s="13">
        <v>0</v>
      </c>
      <c r="I720" s="57">
        <v>0</v>
      </c>
      <c r="J720" s="13"/>
      <c r="K720" s="13">
        <v>15.3</v>
      </c>
      <c r="L720" s="13">
        <v>6.86</v>
      </c>
      <c r="M720" s="13">
        <v>104.95</v>
      </c>
      <c r="N720" s="13">
        <v>0</v>
      </c>
      <c r="O720" s="13">
        <v>0</v>
      </c>
      <c r="P720" s="13">
        <v>0</v>
      </c>
      <c r="Q720" s="31">
        <f t="shared" si="8"/>
        <v>104.95800000000001</v>
      </c>
    </row>
    <row r="721" spans="1:17" ht="90" outlineLevel="2" x14ac:dyDescent="0.2">
      <c r="A721" s="30">
        <v>150148</v>
      </c>
      <c r="B721" s="28"/>
      <c r="C721" s="30">
        <v>925453</v>
      </c>
      <c r="D721" s="59" t="s">
        <v>349</v>
      </c>
      <c r="E721" s="57" t="s">
        <v>16</v>
      </c>
      <c r="F721" s="13">
        <v>61.2</v>
      </c>
      <c r="G721" s="13">
        <v>0</v>
      </c>
      <c r="H721" s="13">
        <v>0</v>
      </c>
      <c r="I721" s="57">
        <v>0</v>
      </c>
      <c r="J721" s="13"/>
      <c r="K721" s="13">
        <v>61.2</v>
      </c>
      <c r="L721" s="13">
        <v>6.26</v>
      </c>
      <c r="M721" s="13">
        <v>383.11</v>
      </c>
      <c r="N721" s="13">
        <v>0</v>
      </c>
      <c r="O721" s="13">
        <v>0</v>
      </c>
      <c r="P721" s="13">
        <v>0</v>
      </c>
      <c r="Q721" s="31">
        <f t="shared" si="8"/>
        <v>383.11200000000002</v>
      </c>
    </row>
    <row r="722" spans="1:17" ht="105" outlineLevel="2" x14ac:dyDescent="0.2">
      <c r="A722" s="30">
        <v>150149</v>
      </c>
      <c r="B722" s="28"/>
      <c r="C722" s="30">
        <v>924511</v>
      </c>
      <c r="D722" s="59" t="s">
        <v>350</v>
      </c>
      <c r="E722" s="57" t="s">
        <v>16</v>
      </c>
      <c r="F722" s="13">
        <v>15.3</v>
      </c>
      <c r="G722" s="13">
        <v>0</v>
      </c>
      <c r="H722" s="13">
        <v>0</v>
      </c>
      <c r="I722" s="57">
        <v>0</v>
      </c>
      <c r="J722" s="13"/>
      <c r="K722" s="13">
        <v>15.3</v>
      </c>
      <c r="L722" s="13">
        <v>9.8699999999999992</v>
      </c>
      <c r="M722" s="13">
        <v>151.01</v>
      </c>
      <c r="N722" s="13">
        <v>0</v>
      </c>
      <c r="O722" s="13">
        <v>0</v>
      </c>
      <c r="P722" s="13">
        <v>0</v>
      </c>
      <c r="Q722" s="31">
        <f t="shared" si="8"/>
        <v>151.011</v>
      </c>
    </row>
    <row r="723" spans="1:17" ht="90" outlineLevel="2" x14ac:dyDescent="0.2">
      <c r="A723" s="30">
        <v>150150</v>
      </c>
      <c r="B723" s="28"/>
      <c r="C723" s="30">
        <v>925454</v>
      </c>
      <c r="D723" s="59" t="s">
        <v>351</v>
      </c>
      <c r="E723" s="57" t="s">
        <v>16</v>
      </c>
      <c r="F723" s="13">
        <v>61.2</v>
      </c>
      <c r="G723" s="13">
        <v>0</v>
      </c>
      <c r="H723" s="13">
        <v>0</v>
      </c>
      <c r="I723" s="57">
        <v>0</v>
      </c>
      <c r="J723" s="13"/>
      <c r="K723" s="13">
        <v>61.2</v>
      </c>
      <c r="L723" s="13">
        <v>8.0500000000000007</v>
      </c>
      <c r="M723" s="13">
        <v>492.66</v>
      </c>
      <c r="N723" s="13">
        <v>0</v>
      </c>
      <c r="O723" s="13">
        <v>0</v>
      </c>
      <c r="P723" s="13">
        <v>0</v>
      </c>
      <c r="Q723" s="31">
        <f t="shared" si="8"/>
        <v>492.66000000000008</v>
      </c>
    </row>
    <row r="724" spans="1:17" ht="75" outlineLevel="2" x14ac:dyDescent="0.2">
      <c r="A724" s="30">
        <v>150151</v>
      </c>
      <c r="B724" s="28"/>
      <c r="C724" s="30">
        <v>922338</v>
      </c>
      <c r="D724" s="59" t="s">
        <v>74</v>
      </c>
      <c r="E724" s="57" t="s">
        <v>10</v>
      </c>
      <c r="F724" s="13">
        <v>6.75</v>
      </c>
      <c r="G724" s="13">
        <v>0</v>
      </c>
      <c r="H724" s="13">
        <v>0</v>
      </c>
      <c r="I724" s="57">
        <v>0</v>
      </c>
      <c r="J724" s="13"/>
      <c r="K724" s="13">
        <v>6.75</v>
      </c>
      <c r="L724" s="13">
        <v>8.33</v>
      </c>
      <c r="M724" s="13">
        <v>56.22</v>
      </c>
      <c r="N724" s="13">
        <v>0</v>
      </c>
      <c r="O724" s="13">
        <v>0</v>
      </c>
      <c r="P724" s="13">
        <v>0</v>
      </c>
      <c r="Q724" s="31">
        <f t="shared" si="8"/>
        <v>56.227499999999999</v>
      </c>
    </row>
    <row r="725" spans="1:17" ht="60" outlineLevel="2" x14ac:dyDescent="0.2">
      <c r="A725" s="30">
        <v>150152</v>
      </c>
      <c r="B725" s="28"/>
      <c r="C725" s="30">
        <v>925455</v>
      </c>
      <c r="D725" s="59" t="s">
        <v>352</v>
      </c>
      <c r="E725" s="57" t="s">
        <v>11</v>
      </c>
      <c r="F725" s="13">
        <v>0.54</v>
      </c>
      <c r="G725" s="13">
        <v>0</v>
      </c>
      <c r="H725" s="13">
        <v>0</v>
      </c>
      <c r="I725" s="57">
        <v>0</v>
      </c>
      <c r="J725" s="13"/>
      <c r="K725" s="13">
        <v>0.54</v>
      </c>
      <c r="L725" s="13">
        <v>41.58</v>
      </c>
      <c r="M725" s="13">
        <v>22.45</v>
      </c>
      <c r="N725" s="13">
        <v>0</v>
      </c>
      <c r="O725" s="13">
        <v>0</v>
      </c>
      <c r="P725" s="13">
        <v>0</v>
      </c>
      <c r="Q725" s="31">
        <f t="shared" si="8"/>
        <v>22.453199999999999</v>
      </c>
    </row>
    <row r="726" spans="1:17" ht="105" outlineLevel="2" x14ac:dyDescent="0.2">
      <c r="A726" s="30">
        <v>150153</v>
      </c>
      <c r="B726" s="28"/>
      <c r="C726" s="30">
        <v>925456</v>
      </c>
      <c r="D726" s="59" t="s">
        <v>353</v>
      </c>
      <c r="E726" s="57" t="s">
        <v>10</v>
      </c>
      <c r="F726" s="13">
        <v>3.75</v>
      </c>
      <c r="G726" s="13">
        <v>0</v>
      </c>
      <c r="H726" s="13">
        <v>0</v>
      </c>
      <c r="I726" s="57">
        <v>0</v>
      </c>
      <c r="J726" s="13"/>
      <c r="K726" s="13">
        <v>3.75</v>
      </c>
      <c r="L726" s="13">
        <v>76.97</v>
      </c>
      <c r="M726" s="13">
        <v>288.63</v>
      </c>
      <c r="N726" s="13">
        <v>0</v>
      </c>
      <c r="O726" s="13">
        <v>0</v>
      </c>
      <c r="P726" s="13">
        <v>0</v>
      </c>
      <c r="Q726" s="31">
        <f t="shared" si="8"/>
        <v>288.63749999999999</v>
      </c>
    </row>
    <row r="727" spans="1:17" ht="90" outlineLevel="2" x14ac:dyDescent="0.2">
      <c r="A727" s="30">
        <v>150154</v>
      </c>
      <c r="B727" s="28"/>
      <c r="C727" s="30">
        <v>925457</v>
      </c>
      <c r="D727" s="59" t="s">
        <v>354</v>
      </c>
      <c r="E727" s="57" t="s">
        <v>10</v>
      </c>
      <c r="F727" s="13">
        <v>0.88</v>
      </c>
      <c r="G727" s="13">
        <v>0</v>
      </c>
      <c r="H727" s="13">
        <v>0</v>
      </c>
      <c r="I727" s="57">
        <v>0</v>
      </c>
      <c r="J727" s="13"/>
      <c r="K727" s="13">
        <v>0.88</v>
      </c>
      <c r="L727" s="13">
        <v>33.81</v>
      </c>
      <c r="M727" s="13">
        <v>29.75</v>
      </c>
      <c r="N727" s="13">
        <v>0</v>
      </c>
      <c r="O727" s="13">
        <v>0</v>
      </c>
      <c r="P727" s="13">
        <v>0</v>
      </c>
      <c r="Q727" s="31">
        <f t="shared" si="8"/>
        <v>29.752800000000001</v>
      </c>
    </row>
    <row r="728" spans="1:17" ht="150" outlineLevel="2" x14ac:dyDescent="0.2">
      <c r="A728" s="30">
        <v>150155</v>
      </c>
      <c r="B728" s="28"/>
      <c r="C728" s="30">
        <v>925458</v>
      </c>
      <c r="D728" s="59" t="s">
        <v>355</v>
      </c>
      <c r="E728" s="57" t="s">
        <v>10</v>
      </c>
      <c r="F728" s="13">
        <v>6</v>
      </c>
      <c r="G728" s="13">
        <v>0</v>
      </c>
      <c r="H728" s="13">
        <v>0</v>
      </c>
      <c r="I728" s="57">
        <v>0</v>
      </c>
      <c r="J728" s="13"/>
      <c r="K728" s="13">
        <v>6</v>
      </c>
      <c r="L728" s="13">
        <v>57.82</v>
      </c>
      <c r="M728" s="13">
        <v>346.92</v>
      </c>
      <c r="N728" s="13">
        <v>0</v>
      </c>
      <c r="O728" s="13">
        <v>0</v>
      </c>
      <c r="P728" s="13">
        <v>0</v>
      </c>
      <c r="Q728" s="31">
        <f t="shared" si="8"/>
        <v>346.92</v>
      </c>
    </row>
    <row r="729" spans="1:17" ht="135" outlineLevel="2" x14ac:dyDescent="0.2">
      <c r="A729" s="30">
        <v>150156</v>
      </c>
      <c r="B729" s="28"/>
      <c r="C729" s="30">
        <v>925459</v>
      </c>
      <c r="D729" s="59" t="s">
        <v>356</v>
      </c>
      <c r="E729" s="57" t="s">
        <v>10</v>
      </c>
      <c r="F729" s="13">
        <v>16.5</v>
      </c>
      <c r="G729" s="13">
        <v>0</v>
      </c>
      <c r="H729" s="13">
        <v>0</v>
      </c>
      <c r="I729" s="57">
        <v>0</v>
      </c>
      <c r="J729" s="13"/>
      <c r="K729" s="13">
        <v>16.5</v>
      </c>
      <c r="L729" s="13">
        <v>28.12</v>
      </c>
      <c r="M729" s="13">
        <v>463.98</v>
      </c>
      <c r="N729" s="13">
        <v>0</v>
      </c>
      <c r="O729" s="13">
        <v>0</v>
      </c>
      <c r="P729" s="13">
        <v>0</v>
      </c>
      <c r="Q729" s="31">
        <f t="shared" si="8"/>
        <v>463.98</v>
      </c>
    </row>
    <row r="730" spans="1:17" ht="45" outlineLevel="2" x14ac:dyDescent="0.2">
      <c r="A730" s="30">
        <v>150157</v>
      </c>
      <c r="B730" s="28"/>
      <c r="C730" s="30">
        <v>925460</v>
      </c>
      <c r="D730" s="59" t="s">
        <v>357</v>
      </c>
      <c r="E730" s="57" t="s">
        <v>10</v>
      </c>
      <c r="F730" s="13">
        <v>4.5</v>
      </c>
      <c r="G730" s="13">
        <v>0</v>
      </c>
      <c r="H730" s="13">
        <v>0</v>
      </c>
      <c r="I730" s="57">
        <v>0</v>
      </c>
      <c r="J730" s="13"/>
      <c r="K730" s="13">
        <v>4.5</v>
      </c>
      <c r="L730" s="13">
        <v>2.12</v>
      </c>
      <c r="M730" s="13">
        <v>9.5399999999999991</v>
      </c>
      <c r="N730" s="13">
        <v>0</v>
      </c>
      <c r="O730" s="13">
        <v>0</v>
      </c>
      <c r="P730" s="13">
        <v>0</v>
      </c>
      <c r="Q730" s="31">
        <f t="shared" si="8"/>
        <v>9.5400000000000009</v>
      </c>
    </row>
    <row r="731" spans="1:17" ht="45" outlineLevel="2" x14ac:dyDescent="0.2">
      <c r="A731" s="30">
        <v>150158</v>
      </c>
      <c r="B731" s="28"/>
      <c r="C731" s="30">
        <v>921974</v>
      </c>
      <c r="D731" s="59" t="s">
        <v>127</v>
      </c>
      <c r="E731" s="57" t="s">
        <v>10</v>
      </c>
      <c r="F731" s="13">
        <v>12</v>
      </c>
      <c r="G731" s="13">
        <v>0</v>
      </c>
      <c r="H731" s="13">
        <v>0</v>
      </c>
      <c r="I731" s="57">
        <v>0</v>
      </c>
      <c r="J731" s="13"/>
      <c r="K731" s="13">
        <v>12</v>
      </c>
      <c r="L731" s="13">
        <v>1.85</v>
      </c>
      <c r="M731" s="13">
        <v>22.2</v>
      </c>
      <c r="N731" s="13">
        <v>0</v>
      </c>
      <c r="O731" s="13">
        <v>0</v>
      </c>
      <c r="P731" s="13">
        <v>0</v>
      </c>
      <c r="Q731" s="31">
        <f t="shared" si="8"/>
        <v>22.200000000000003</v>
      </c>
    </row>
    <row r="732" spans="1:17" ht="60" outlineLevel="2" x14ac:dyDescent="0.2">
      <c r="A732" s="30">
        <v>150159</v>
      </c>
      <c r="B732" s="28"/>
      <c r="C732" s="30">
        <v>949526</v>
      </c>
      <c r="D732" s="59" t="s">
        <v>358</v>
      </c>
      <c r="E732" s="57" t="s">
        <v>10</v>
      </c>
      <c r="F732" s="13">
        <v>4.5</v>
      </c>
      <c r="G732" s="13">
        <v>0</v>
      </c>
      <c r="H732" s="13">
        <v>0</v>
      </c>
      <c r="I732" s="57">
        <v>0</v>
      </c>
      <c r="J732" s="13"/>
      <c r="K732" s="13">
        <v>4.5</v>
      </c>
      <c r="L732" s="13">
        <v>11.7</v>
      </c>
      <c r="M732" s="13">
        <v>52.65</v>
      </c>
      <c r="N732" s="13">
        <v>0</v>
      </c>
      <c r="O732" s="13">
        <v>0</v>
      </c>
      <c r="P732" s="13">
        <v>0</v>
      </c>
      <c r="Q732" s="31">
        <f t="shared" si="8"/>
        <v>52.65</v>
      </c>
    </row>
    <row r="733" spans="1:17" ht="60" outlineLevel="2" x14ac:dyDescent="0.2">
      <c r="A733" s="30">
        <v>150160</v>
      </c>
      <c r="B733" s="28"/>
      <c r="C733" s="30">
        <v>949820</v>
      </c>
      <c r="D733" s="59" t="s">
        <v>359</v>
      </c>
      <c r="E733" s="57" t="s">
        <v>10</v>
      </c>
      <c r="F733" s="13">
        <v>12</v>
      </c>
      <c r="G733" s="13">
        <v>0</v>
      </c>
      <c r="H733" s="13">
        <v>0</v>
      </c>
      <c r="I733" s="57">
        <v>0</v>
      </c>
      <c r="J733" s="13"/>
      <c r="K733" s="13">
        <v>12</v>
      </c>
      <c r="L733" s="13">
        <v>10.46</v>
      </c>
      <c r="M733" s="13">
        <v>125.52</v>
      </c>
      <c r="N733" s="13">
        <v>0</v>
      </c>
      <c r="O733" s="13">
        <v>0</v>
      </c>
      <c r="P733" s="13">
        <v>0</v>
      </c>
      <c r="Q733" s="31">
        <f t="shared" si="8"/>
        <v>125.52000000000001</v>
      </c>
    </row>
    <row r="734" spans="1:17" ht="75" outlineLevel="2" x14ac:dyDescent="0.2">
      <c r="A734" s="30">
        <v>150161</v>
      </c>
      <c r="B734" s="28"/>
      <c r="C734" s="30">
        <v>663846</v>
      </c>
      <c r="D734" s="59" t="s">
        <v>360</v>
      </c>
      <c r="E734" s="57" t="s">
        <v>10</v>
      </c>
      <c r="F734" s="13">
        <v>3.84</v>
      </c>
      <c r="G734" s="13">
        <v>0</v>
      </c>
      <c r="H734" s="13">
        <v>0</v>
      </c>
      <c r="I734" s="57">
        <v>0</v>
      </c>
      <c r="J734" s="13"/>
      <c r="K734" s="13">
        <v>3.84</v>
      </c>
      <c r="L734" s="13">
        <v>858.58</v>
      </c>
      <c r="M734" s="13">
        <v>3296.94</v>
      </c>
      <c r="N734" s="13">
        <v>0</v>
      </c>
      <c r="O734" s="13">
        <v>0</v>
      </c>
      <c r="P734" s="13">
        <v>0</v>
      </c>
      <c r="Q734" s="31">
        <f t="shared" si="8"/>
        <v>3296.9472000000001</v>
      </c>
    </row>
    <row r="735" spans="1:17" ht="75" outlineLevel="2" x14ac:dyDescent="0.2">
      <c r="A735" s="30">
        <v>150162</v>
      </c>
      <c r="B735" s="28"/>
      <c r="C735" s="30">
        <v>925461</v>
      </c>
      <c r="D735" s="59" t="s">
        <v>361</v>
      </c>
      <c r="E735" s="57" t="s">
        <v>10</v>
      </c>
      <c r="F735" s="13">
        <v>10.26</v>
      </c>
      <c r="G735" s="13">
        <v>0</v>
      </c>
      <c r="H735" s="13">
        <v>0</v>
      </c>
      <c r="I735" s="57">
        <v>0</v>
      </c>
      <c r="J735" s="13"/>
      <c r="K735" s="13">
        <v>10.26</v>
      </c>
      <c r="L735" s="13">
        <v>20.79</v>
      </c>
      <c r="M735" s="13">
        <v>213.3</v>
      </c>
      <c r="N735" s="13">
        <v>0</v>
      </c>
      <c r="O735" s="13">
        <v>0</v>
      </c>
      <c r="P735" s="13">
        <v>0</v>
      </c>
      <c r="Q735" s="31">
        <f t="shared" si="8"/>
        <v>213.30539999999999</v>
      </c>
    </row>
    <row r="736" spans="1:17" ht="75" outlineLevel="2" x14ac:dyDescent="0.2">
      <c r="A736" s="30">
        <v>150163</v>
      </c>
      <c r="B736" s="28"/>
      <c r="C736" s="30">
        <v>922276</v>
      </c>
      <c r="D736" s="59" t="s">
        <v>362</v>
      </c>
      <c r="E736" s="57" t="s">
        <v>10</v>
      </c>
      <c r="F736" s="13">
        <v>10.26</v>
      </c>
      <c r="G736" s="13">
        <v>0</v>
      </c>
      <c r="H736" s="13">
        <v>0</v>
      </c>
      <c r="I736" s="57">
        <v>0</v>
      </c>
      <c r="J736" s="13"/>
      <c r="K736" s="13">
        <v>10.26</v>
      </c>
      <c r="L736" s="13">
        <v>74.97</v>
      </c>
      <c r="M736" s="13">
        <v>769.19</v>
      </c>
      <c r="N736" s="13">
        <v>0</v>
      </c>
      <c r="O736" s="13">
        <v>0</v>
      </c>
      <c r="P736" s="13">
        <v>0</v>
      </c>
      <c r="Q736" s="31">
        <f t="shared" si="8"/>
        <v>769.19219999999996</v>
      </c>
    </row>
    <row r="737" spans="1:17" ht="30" outlineLevel="2" x14ac:dyDescent="0.2">
      <c r="A737" s="30">
        <v>150164</v>
      </c>
      <c r="B737" s="28"/>
      <c r="C737" s="30">
        <v>210101</v>
      </c>
      <c r="D737" s="59" t="s">
        <v>363</v>
      </c>
      <c r="E737" s="57" t="s">
        <v>10</v>
      </c>
      <c r="F737" s="13">
        <v>8000</v>
      </c>
      <c r="G737" s="13">
        <v>0</v>
      </c>
      <c r="H737" s="13">
        <v>0</v>
      </c>
      <c r="I737" s="57">
        <v>0</v>
      </c>
      <c r="J737" s="13"/>
      <c r="K737" s="13">
        <v>8000</v>
      </c>
      <c r="L737" s="13">
        <v>2.19</v>
      </c>
      <c r="M737" s="13">
        <v>17520</v>
      </c>
      <c r="N737" s="13">
        <v>0</v>
      </c>
      <c r="O737" s="13">
        <v>0</v>
      </c>
      <c r="P737" s="13">
        <v>0</v>
      </c>
      <c r="Q737" s="31">
        <f t="shared" si="8"/>
        <v>17520</v>
      </c>
    </row>
    <row r="738" spans="1:17" ht="15" x14ac:dyDescent="0.2">
      <c r="A738" s="28"/>
      <c r="B738" s="28"/>
      <c r="C738" s="28"/>
      <c r="D738" s="60"/>
      <c r="E738" s="67"/>
      <c r="F738" s="28"/>
      <c r="G738" s="28"/>
      <c r="H738" s="28"/>
      <c r="I738" s="67"/>
      <c r="J738" s="28"/>
      <c r="K738" s="28"/>
      <c r="L738" s="28"/>
      <c r="M738" s="28"/>
      <c r="N738" s="28"/>
      <c r="O738" s="28"/>
      <c r="P738" s="28"/>
      <c r="Q738" s="31">
        <f t="shared" si="8"/>
        <v>0</v>
      </c>
    </row>
    <row r="739" spans="1:17" ht="15" x14ac:dyDescent="0.2">
      <c r="A739" s="28"/>
      <c r="B739" s="28"/>
      <c r="C739" s="28"/>
      <c r="D739" s="60"/>
      <c r="E739" s="67"/>
      <c r="F739" s="28"/>
      <c r="G739" s="28"/>
      <c r="H739" s="28"/>
      <c r="I739" s="67"/>
      <c r="J739" s="28"/>
      <c r="K739" s="28"/>
      <c r="L739" s="28"/>
      <c r="M739" s="28"/>
      <c r="N739" s="28"/>
      <c r="O739" s="28"/>
      <c r="P739" s="28"/>
      <c r="Q739" s="31">
        <f t="shared" si="8"/>
        <v>0</v>
      </c>
    </row>
    <row r="740" spans="1:17" ht="15.75" outlineLevel="2" x14ac:dyDescent="0.2">
      <c r="A740" s="30">
        <v>160100</v>
      </c>
      <c r="B740" s="28"/>
      <c r="C740" s="30">
        <v>645240</v>
      </c>
      <c r="D740" s="37" t="s">
        <v>33</v>
      </c>
      <c r="E740" s="67"/>
      <c r="F740" s="13" t="s">
        <v>9</v>
      </c>
      <c r="G740" s="13">
        <v>0</v>
      </c>
      <c r="H740" s="13">
        <v>0</v>
      </c>
      <c r="I740" s="57"/>
      <c r="J740" s="13"/>
      <c r="K740" s="13"/>
      <c r="L740" s="13" t="s">
        <v>9</v>
      </c>
      <c r="M740" s="13" t="s">
        <v>9</v>
      </c>
      <c r="N740" s="13">
        <v>0</v>
      </c>
      <c r="O740" s="13">
        <v>0</v>
      </c>
      <c r="P740" s="13">
        <v>0</v>
      </c>
      <c r="Q740" s="31">
        <f t="shared" si="8"/>
        <v>0</v>
      </c>
    </row>
    <row r="741" spans="1:17" ht="63" outlineLevel="2" x14ac:dyDescent="0.2">
      <c r="A741" s="30">
        <v>160101</v>
      </c>
      <c r="B741" s="28"/>
      <c r="C741" s="30">
        <v>925462</v>
      </c>
      <c r="D741" s="37" t="s">
        <v>364</v>
      </c>
      <c r="E741" s="57" t="s">
        <v>15</v>
      </c>
      <c r="F741" s="13"/>
      <c r="G741" s="13">
        <v>0</v>
      </c>
      <c r="H741" s="13">
        <v>481.76</v>
      </c>
      <c r="I741" s="57">
        <v>481.76</v>
      </c>
      <c r="J741" s="13" t="s">
        <v>500</v>
      </c>
      <c r="K741" s="13"/>
      <c r="L741" s="13">
        <v>394.47</v>
      </c>
      <c r="M741" s="13">
        <v>190039.86</v>
      </c>
      <c r="N741" s="13">
        <v>0</v>
      </c>
      <c r="O741" s="13">
        <v>190039.86</v>
      </c>
      <c r="P741" s="13">
        <v>190039.86</v>
      </c>
      <c r="Q741" s="31">
        <f t="shared" si="8"/>
        <v>394.47</v>
      </c>
    </row>
    <row r="742" spans="1:17" ht="15" outlineLevel="2" x14ac:dyDescent="0.2">
      <c r="A742" s="30"/>
      <c r="B742" s="28"/>
      <c r="C742" s="30"/>
      <c r="D742" s="59"/>
      <c r="E742" s="57"/>
      <c r="F742" s="13"/>
      <c r="G742" s="13"/>
      <c r="H742" s="13"/>
      <c r="I742" s="57"/>
      <c r="J742" s="13"/>
      <c r="K742" s="13"/>
      <c r="L742" s="13"/>
      <c r="M742" s="13"/>
      <c r="N742" s="13"/>
      <c r="O742" s="13"/>
      <c r="P742" s="13"/>
      <c r="Q742" s="31"/>
    </row>
    <row r="743" spans="1:17" ht="15" outlineLevel="2" x14ac:dyDescent="0.2">
      <c r="A743" s="30"/>
      <c r="B743" s="28"/>
      <c r="C743" s="30"/>
      <c r="D743" s="59"/>
      <c r="E743" s="57"/>
      <c r="F743" s="13"/>
      <c r="G743" s="13"/>
      <c r="H743" s="13"/>
      <c r="I743" s="57"/>
      <c r="J743" s="13"/>
      <c r="K743" s="13"/>
      <c r="L743" s="13"/>
      <c r="M743" s="13"/>
      <c r="N743" s="13"/>
      <c r="O743" s="13"/>
      <c r="P743" s="13"/>
      <c r="Q743" s="31"/>
    </row>
    <row r="744" spans="1:17" ht="15" outlineLevel="2" x14ac:dyDescent="0.2">
      <c r="A744" s="30"/>
      <c r="B744" s="28"/>
      <c r="C744" s="30"/>
      <c r="D744" s="59"/>
      <c r="E744" s="57"/>
      <c r="F744" s="13"/>
      <c r="G744" s="13"/>
      <c r="H744" s="13"/>
      <c r="I744" s="57"/>
      <c r="J744" s="13"/>
      <c r="K744" s="13"/>
      <c r="L744" s="13"/>
      <c r="M744" s="13"/>
      <c r="N744" s="13"/>
      <c r="O744" s="13"/>
      <c r="P744" s="13"/>
      <c r="Q744" s="31"/>
    </row>
    <row r="745" spans="1:17" ht="15" outlineLevel="2" x14ac:dyDescent="0.2">
      <c r="A745" s="30"/>
      <c r="B745" s="28"/>
      <c r="C745" s="30"/>
      <c r="D745" s="59"/>
      <c r="E745" s="57"/>
      <c r="F745" s="13"/>
      <c r="G745" s="13"/>
      <c r="H745" s="13"/>
      <c r="I745" s="57"/>
      <c r="J745" s="13"/>
      <c r="K745" s="13"/>
      <c r="L745" s="13"/>
      <c r="M745" s="13"/>
      <c r="N745" s="13"/>
      <c r="O745" s="13"/>
      <c r="P745" s="13"/>
      <c r="Q745" s="31"/>
    </row>
    <row r="746" spans="1:17" ht="15" outlineLevel="2" x14ac:dyDescent="0.2">
      <c r="A746" s="30"/>
      <c r="B746" s="28"/>
      <c r="C746" s="30"/>
      <c r="D746" s="59"/>
      <c r="E746" s="57"/>
      <c r="F746" s="13"/>
      <c r="G746" s="13"/>
      <c r="H746" s="13"/>
      <c r="I746" s="57"/>
      <c r="J746" s="13"/>
      <c r="K746" s="13"/>
      <c r="L746" s="13"/>
      <c r="M746" s="13"/>
      <c r="N746" s="13"/>
      <c r="O746" s="13"/>
      <c r="P746" s="13"/>
      <c r="Q746" s="31"/>
    </row>
    <row r="747" spans="1:17" ht="85.5" outlineLevel="2" x14ac:dyDescent="0.2">
      <c r="A747" s="17">
        <v>160102</v>
      </c>
      <c r="B747" s="16"/>
      <c r="C747" s="17">
        <v>925463</v>
      </c>
      <c r="D747" s="63" t="s">
        <v>365</v>
      </c>
      <c r="E747" s="70" t="s">
        <v>15</v>
      </c>
      <c r="F747" s="18">
        <v>56.88</v>
      </c>
      <c r="G747" s="18">
        <v>56.03</v>
      </c>
      <c r="H747" s="18">
        <v>56.03</v>
      </c>
      <c r="I747" s="70">
        <v>0</v>
      </c>
      <c r="J747" s="18" t="s">
        <v>501</v>
      </c>
      <c r="K747" s="18"/>
      <c r="L747" s="18">
        <v>562.36</v>
      </c>
      <c r="M747" s="18">
        <v>31987.03</v>
      </c>
      <c r="N747" s="18">
        <v>31509.040000000001</v>
      </c>
      <c r="O747" s="18">
        <v>31509.03</v>
      </c>
      <c r="P747" s="18">
        <v>0.01</v>
      </c>
      <c r="Q747" s="19">
        <f t="shared" si="8"/>
        <v>562.36</v>
      </c>
    </row>
    <row r="748" spans="1:17" ht="99.75" outlineLevel="2" x14ac:dyDescent="0.2">
      <c r="A748" s="17">
        <v>160103</v>
      </c>
      <c r="B748" s="16"/>
      <c r="C748" s="17">
        <v>925464</v>
      </c>
      <c r="D748" s="63" t="s">
        <v>366</v>
      </c>
      <c r="E748" s="70" t="s">
        <v>10</v>
      </c>
      <c r="F748" s="18">
        <v>10</v>
      </c>
      <c r="G748" s="18">
        <v>0</v>
      </c>
      <c r="H748" s="18">
        <v>0</v>
      </c>
      <c r="I748" s="70">
        <v>0</v>
      </c>
      <c r="J748" s="18" t="s">
        <v>501</v>
      </c>
      <c r="K748" s="18"/>
      <c r="L748" s="18">
        <v>376.83</v>
      </c>
      <c r="M748" s="18">
        <v>3768.3</v>
      </c>
      <c r="N748" s="18">
        <v>0</v>
      </c>
      <c r="O748" s="18">
        <v>0</v>
      </c>
      <c r="P748" s="18">
        <v>0</v>
      </c>
      <c r="Q748" s="19">
        <f t="shared" si="8"/>
        <v>376.83</v>
      </c>
    </row>
    <row r="749" spans="1:17" ht="42.75" outlineLevel="2" x14ac:dyDescent="0.2">
      <c r="A749" s="17">
        <v>160104</v>
      </c>
      <c r="B749" s="16"/>
      <c r="C749" s="17">
        <v>925465</v>
      </c>
      <c r="D749" s="63" t="s">
        <v>367</v>
      </c>
      <c r="E749" s="70" t="s">
        <v>10</v>
      </c>
      <c r="F749" s="18">
        <v>4.5</v>
      </c>
      <c r="G749" s="18">
        <v>0</v>
      </c>
      <c r="H749" s="18">
        <v>0</v>
      </c>
      <c r="I749" s="70">
        <v>0</v>
      </c>
      <c r="J749" s="18" t="s">
        <v>501</v>
      </c>
      <c r="K749" s="18"/>
      <c r="L749" s="18">
        <v>220.13</v>
      </c>
      <c r="M749" s="18">
        <v>990.58</v>
      </c>
      <c r="N749" s="18">
        <v>0</v>
      </c>
      <c r="O749" s="18">
        <v>0</v>
      </c>
      <c r="P749" s="18">
        <v>0</v>
      </c>
      <c r="Q749" s="19">
        <f t="shared" si="8"/>
        <v>220.13</v>
      </c>
    </row>
    <row r="750" spans="1:17" ht="28.5" outlineLevel="2" x14ac:dyDescent="0.2">
      <c r="A750" s="17">
        <v>160105</v>
      </c>
      <c r="B750" s="16"/>
      <c r="C750" s="17">
        <v>925466</v>
      </c>
      <c r="D750" s="63" t="s">
        <v>368</v>
      </c>
      <c r="E750" s="70" t="s">
        <v>10</v>
      </c>
      <c r="F750" s="18">
        <v>2238.9</v>
      </c>
      <c r="G750" s="18">
        <v>0</v>
      </c>
      <c r="H750" s="18">
        <v>0</v>
      </c>
      <c r="I750" s="70">
        <v>0</v>
      </c>
      <c r="J750" s="21" t="s">
        <v>502</v>
      </c>
      <c r="K750" s="18"/>
      <c r="L750" s="18">
        <v>11.82</v>
      </c>
      <c r="M750" s="18">
        <v>26463.79</v>
      </c>
      <c r="N750" s="18">
        <v>0</v>
      </c>
      <c r="O750" s="18">
        <v>0</v>
      </c>
      <c r="P750" s="18">
        <v>0</v>
      </c>
      <c r="Q750" s="19">
        <f t="shared" si="8"/>
        <v>11.82</v>
      </c>
    </row>
    <row r="751" spans="1:17" ht="42.75" outlineLevel="2" x14ac:dyDescent="0.2">
      <c r="A751" s="17">
        <v>160106</v>
      </c>
      <c r="B751" s="16"/>
      <c r="C751" s="17">
        <v>296692</v>
      </c>
      <c r="D751" s="63" t="s">
        <v>344</v>
      </c>
      <c r="E751" s="70" t="s">
        <v>24</v>
      </c>
      <c r="F751" s="18">
        <v>42.28</v>
      </c>
      <c r="G751" s="18">
        <v>0</v>
      </c>
      <c r="H751" s="18">
        <v>42.28</v>
      </c>
      <c r="I751" s="70">
        <v>42.28</v>
      </c>
      <c r="J751" s="18"/>
      <c r="K751" s="18"/>
      <c r="L751" s="18">
        <v>4.04</v>
      </c>
      <c r="M751" s="18">
        <v>170.81</v>
      </c>
      <c r="N751" s="18">
        <v>0</v>
      </c>
      <c r="O751" s="18">
        <v>170.81</v>
      </c>
      <c r="P751" s="18">
        <v>170.81</v>
      </c>
      <c r="Q751" s="19">
        <f t="shared" si="8"/>
        <v>4.04</v>
      </c>
    </row>
    <row r="752" spans="1:17" ht="42.75" outlineLevel="2" x14ac:dyDescent="0.2">
      <c r="A752" s="17">
        <v>160107</v>
      </c>
      <c r="B752" s="16"/>
      <c r="C752" s="17">
        <v>925467</v>
      </c>
      <c r="D752" s="63" t="s">
        <v>369</v>
      </c>
      <c r="E752" s="70" t="s">
        <v>11</v>
      </c>
      <c r="F752" s="18">
        <v>42.28</v>
      </c>
      <c r="G752" s="18">
        <v>0</v>
      </c>
      <c r="H752" s="18">
        <v>21.14</v>
      </c>
      <c r="I752" s="70">
        <v>21.14</v>
      </c>
      <c r="J752" s="18"/>
      <c r="K752" s="75">
        <f>42.89-I752</f>
        <v>21.75</v>
      </c>
      <c r="L752" s="18">
        <v>79.260000000000005</v>
      </c>
      <c r="M752" s="18">
        <v>3351.11</v>
      </c>
      <c r="N752" s="18">
        <v>0</v>
      </c>
      <c r="O752" s="18">
        <v>1675.55</v>
      </c>
      <c r="P752" s="18">
        <v>1675.55</v>
      </c>
      <c r="Q752" s="19">
        <f t="shared" si="8"/>
        <v>1723.9050000000002</v>
      </c>
    </row>
    <row r="753" spans="1:17" ht="99.75" outlineLevel="2" x14ac:dyDescent="0.2">
      <c r="A753" s="17">
        <v>160108</v>
      </c>
      <c r="B753" s="16"/>
      <c r="C753" s="17">
        <v>925468</v>
      </c>
      <c r="D753" s="63" t="s">
        <v>370</v>
      </c>
      <c r="E753" s="70" t="s">
        <v>11</v>
      </c>
      <c r="F753" s="18">
        <v>56.03</v>
      </c>
      <c r="G753" s="18">
        <v>0</v>
      </c>
      <c r="H753" s="18">
        <v>41.11</v>
      </c>
      <c r="I753" s="70">
        <v>41.11</v>
      </c>
      <c r="J753" s="21" t="s">
        <v>503</v>
      </c>
      <c r="K753" s="18"/>
      <c r="L753" s="18">
        <v>406.07</v>
      </c>
      <c r="M753" s="18">
        <v>22752.1</v>
      </c>
      <c r="N753" s="18">
        <v>0</v>
      </c>
      <c r="O753" s="18">
        <v>16693.53</v>
      </c>
      <c r="P753" s="18">
        <v>16693.53</v>
      </c>
      <c r="Q753" s="19">
        <f t="shared" si="8"/>
        <v>406.07</v>
      </c>
    </row>
    <row r="754" spans="1:17" ht="99.75" outlineLevel="2" x14ac:dyDescent="0.2">
      <c r="A754" s="17">
        <v>160109</v>
      </c>
      <c r="B754" s="16"/>
      <c r="C754" s="17">
        <v>925469</v>
      </c>
      <c r="D754" s="63" t="s">
        <v>371</v>
      </c>
      <c r="E754" s="70" t="s">
        <v>15</v>
      </c>
      <c r="F754" s="18" t="s">
        <v>9</v>
      </c>
      <c r="G754" s="18">
        <v>0</v>
      </c>
      <c r="H754" s="18">
        <v>0</v>
      </c>
      <c r="I754" s="70">
        <v>0</v>
      </c>
      <c r="J754" s="18"/>
      <c r="K754" s="18"/>
      <c r="L754" s="18">
        <v>37.700000000000003</v>
      </c>
      <c r="M754" s="18" t="s">
        <v>9</v>
      </c>
      <c r="N754" s="18">
        <v>0</v>
      </c>
      <c r="O754" s="18">
        <v>0</v>
      </c>
      <c r="P754" s="18">
        <v>0</v>
      </c>
      <c r="Q754" s="19">
        <f t="shared" si="8"/>
        <v>37.700000000000003</v>
      </c>
    </row>
    <row r="755" spans="1:17" ht="85.5" outlineLevel="2" x14ac:dyDescent="0.2">
      <c r="A755" s="17">
        <v>160110</v>
      </c>
      <c r="B755" s="16"/>
      <c r="C755" s="17">
        <v>925470</v>
      </c>
      <c r="D755" s="63" t="s">
        <v>372</v>
      </c>
      <c r="E755" s="70" t="s">
        <v>20</v>
      </c>
      <c r="F755" s="18">
        <v>134</v>
      </c>
      <c r="G755" s="18">
        <v>0</v>
      </c>
      <c r="H755" s="18">
        <v>25</v>
      </c>
      <c r="I755" s="70">
        <v>25</v>
      </c>
      <c r="J755" s="18"/>
      <c r="K755" s="18"/>
      <c r="L755" s="18">
        <v>15.05</v>
      </c>
      <c r="M755" s="18">
        <v>2016.7</v>
      </c>
      <c r="N755" s="18">
        <v>0</v>
      </c>
      <c r="O755" s="18">
        <v>376.25</v>
      </c>
      <c r="P755" s="18">
        <v>376.25</v>
      </c>
      <c r="Q755" s="19">
        <f t="shared" si="8"/>
        <v>15.05</v>
      </c>
    </row>
    <row r="756" spans="1:17" ht="57" outlineLevel="2" x14ac:dyDescent="0.2">
      <c r="A756" s="17">
        <v>160111</v>
      </c>
      <c r="B756" s="16"/>
      <c r="C756" s="17">
        <v>925471</v>
      </c>
      <c r="D756" s="63" t="s">
        <v>373</v>
      </c>
      <c r="E756" s="70" t="s">
        <v>20</v>
      </c>
      <c r="F756" s="18">
        <v>8</v>
      </c>
      <c r="G756" s="18">
        <v>0</v>
      </c>
      <c r="H756" s="18">
        <v>8</v>
      </c>
      <c r="I756" s="70">
        <v>8</v>
      </c>
      <c r="J756" s="18"/>
      <c r="K756" s="18"/>
      <c r="L756" s="18">
        <v>1320.82</v>
      </c>
      <c r="M756" s="18">
        <v>10566.56</v>
      </c>
      <c r="N756" s="18">
        <v>0</v>
      </c>
      <c r="O756" s="18">
        <v>10566.56</v>
      </c>
      <c r="P756" s="18">
        <v>10566.56</v>
      </c>
      <c r="Q756" s="19">
        <f t="shared" si="8"/>
        <v>1320.82</v>
      </c>
    </row>
    <row r="757" spans="1:17" ht="57" outlineLevel="2" x14ac:dyDescent="0.2">
      <c r="A757" s="17">
        <v>160112</v>
      </c>
      <c r="B757" s="16"/>
      <c r="C757" s="17">
        <v>924607</v>
      </c>
      <c r="D757" s="63" t="s">
        <v>120</v>
      </c>
      <c r="E757" s="70" t="s">
        <v>10</v>
      </c>
      <c r="F757" s="18">
        <v>9.6</v>
      </c>
      <c r="G757" s="18">
        <v>0</v>
      </c>
      <c r="H757" s="18">
        <v>0</v>
      </c>
      <c r="I757" s="70">
        <v>0</v>
      </c>
      <c r="J757" s="18"/>
      <c r="K757" s="18"/>
      <c r="L757" s="18">
        <v>19.39</v>
      </c>
      <c r="M757" s="18">
        <v>186.14</v>
      </c>
      <c r="N757" s="18">
        <v>0</v>
      </c>
      <c r="O757" s="18">
        <v>0</v>
      </c>
      <c r="P757" s="18">
        <v>0</v>
      </c>
      <c r="Q757" s="19">
        <f t="shared" si="8"/>
        <v>19.39</v>
      </c>
    </row>
    <row r="758" spans="1:17" x14ac:dyDescent="0.2">
      <c r="A758" s="16"/>
      <c r="B758" s="16"/>
      <c r="C758" s="16"/>
      <c r="D758" s="64"/>
      <c r="E758" s="71"/>
      <c r="F758" s="16"/>
      <c r="G758" s="16"/>
      <c r="H758" s="16"/>
      <c r="I758" s="71"/>
      <c r="J758" s="16"/>
      <c r="K758" s="16"/>
      <c r="L758" s="16"/>
      <c r="M758" s="16"/>
      <c r="N758" s="16"/>
      <c r="O758" s="16"/>
      <c r="P758" s="16"/>
      <c r="Q758" s="19">
        <f t="shared" si="8"/>
        <v>0</v>
      </c>
    </row>
    <row r="759" spans="1:17" x14ac:dyDescent="0.2">
      <c r="A759" s="16"/>
      <c r="B759" s="16"/>
      <c r="C759" s="16"/>
      <c r="D759" s="64"/>
      <c r="E759" s="71"/>
      <c r="F759" s="16"/>
      <c r="G759" s="16"/>
      <c r="H759" s="16"/>
      <c r="I759" s="71"/>
      <c r="J759" s="16"/>
      <c r="K759" s="16"/>
      <c r="L759" s="16"/>
      <c r="M759" s="16"/>
      <c r="N759" s="16"/>
      <c r="O759" s="16"/>
      <c r="P759" s="16"/>
      <c r="Q759" s="19">
        <f t="shared" si="8"/>
        <v>0</v>
      </c>
    </row>
    <row r="760" spans="1:17" ht="15" outlineLevel="2" x14ac:dyDescent="0.2">
      <c r="A760" s="17">
        <v>170100</v>
      </c>
      <c r="B760" s="16"/>
      <c r="C760" s="17">
        <v>950664</v>
      </c>
      <c r="D760" s="65" t="s">
        <v>34</v>
      </c>
      <c r="E760" s="71"/>
      <c r="F760" s="18" t="s">
        <v>9</v>
      </c>
      <c r="G760" s="18">
        <v>0</v>
      </c>
      <c r="H760" s="18">
        <v>0</v>
      </c>
      <c r="I760" s="70">
        <v>0</v>
      </c>
      <c r="J760" s="18"/>
      <c r="K760" s="18">
        <v>0</v>
      </c>
      <c r="L760" s="18" t="s">
        <v>9</v>
      </c>
      <c r="M760" s="18" t="s">
        <v>9</v>
      </c>
      <c r="N760" s="18">
        <v>0</v>
      </c>
      <c r="O760" s="18">
        <v>0</v>
      </c>
      <c r="P760" s="18">
        <v>0</v>
      </c>
      <c r="Q760" s="19">
        <f t="shared" si="8"/>
        <v>0</v>
      </c>
    </row>
    <row r="761" spans="1:17" ht="42.75" outlineLevel="2" x14ac:dyDescent="0.2">
      <c r="A761" s="17">
        <v>170101</v>
      </c>
      <c r="B761" s="16"/>
      <c r="C761" s="17">
        <v>490093</v>
      </c>
      <c r="D761" s="63" t="s">
        <v>374</v>
      </c>
      <c r="E761" s="70" t="s">
        <v>35</v>
      </c>
      <c r="F761" s="18">
        <v>387</v>
      </c>
      <c r="G761" s="18">
        <v>11.61</v>
      </c>
      <c r="H761" s="18">
        <v>185.06</v>
      </c>
      <c r="I761" s="70">
        <v>196.67</v>
      </c>
      <c r="J761" s="18"/>
      <c r="K761" s="18">
        <v>190.33</v>
      </c>
      <c r="L761" s="18">
        <v>75.77</v>
      </c>
      <c r="M761" s="18">
        <v>29322.99</v>
      </c>
      <c r="N761" s="18">
        <v>879.68</v>
      </c>
      <c r="O761" s="18">
        <v>14021.91</v>
      </c>
      <c r="P761" s="18">
        <v>14901.59</v>
      </c>
      <c r="Q761" s="19">
        <f t="shared" si="8"/>
        <v>14421.304099999999</v>
      </c>
    </row>
    <row r="762" spans="1:17" ht="42.75" outlineLevel="2" x14ac:dyDescent="0.2">
      <c r="A762" s="17">
        <v>170102</v>
      </c>
      <c r="B762" s="16"/>
      <c r="C762" s="17">
        <v>960012</v>
      </c>
      <c r="D762" s="63" t="s">
        <v>375</v>
      </c>
      <c r="E762" s="70" t="s">
        <v>35</v>
      </c>
      <c r="F762" s="18">
        <v>1698.84</v>
      </c>
      <c r="G762" s="18">
        <v>51</v>
      </c>
      <c r="H762" s="18">
        <v>813.07</v>
      </c>
      <c r="I762" s="70">
        <v>864.07</v>
      </c>
      <c r="J762" s="18"/>
      <c r="K762" s="18">
        <v>834.77</v>
      </c>
      <c r="L762" s="18">
        <v>23.72</v>
      </c>
      <c r="M762" s="18">
        <v>40296.480000000003</v>
      </c>
      <c r="N762" s="18">
        <v>1209.72</v>
      </c>
      <c r="O762" s="18">
        <v>19285.95</v>
      </c>
      <c r="P762" s="18">
        <v>20495.669999999998</v>
      </c>
      <c r="Q762" s="19">
        <f t="shared" ref="Q762:Q825" si="9">PRODUCT(K762,L762)</f>
        <v>19800.7444</v>
      </c>
    </row>
    <row r="763" spans="1:17" ht="42.75" outlineLevel="2" x14ac:dyDescent="0.2">
      <c r="A763" s="17">
        <v>170103</v>
      </c>
      <c r="B763" s="16"/>
      <c r="C763" s="17">
        <v>960013</v>
      </c>
      <c r="D763" s="63" t="s">
        <v>376</v>
      </c>
      <c r="E763" s="70" t="s">
        <v>35</v>
      </c>
      <c r="F763" s="18">
        <v>1698.84</v>
      </c>
      <c r="G763" s="18">
        <v>51</v>
      </c>
      <c r="H763" s="18">
        <v>813.07</v>
      </c>
      <c r="I763" s="70">
        <v>864.07</v>
      </c>
      <c r="J763" s="18"/>
      <c r="K763" s="18">
        <v>834.77</v>
      </c>
      <c r="L763" s="18">
        <v>15.58</v>
      </c>
      <c r="M763" s="18">
        <v>26467.919999999998</v>
      </c>
      <c r="N763" s="18">
        <v>794.58</v>
      </c>
      <c r="O763" s="18">
        <v>12667.56</v>
      </c>
      <c r="P763" s="18">
        <v>13462.14</v>
      </c>
      <c r="Q763" s="19">
        <f t="shared" si="9"/>
        <v>13005.7166</v>
      </c>
    </row>
    <row r="764" spans="1:17" ht="28.5" outlineLevel="2" x14ac:dyDescent="0.2">
      <c r="A764" s="17">
        <v>170104</v>
      </c>
      <c r="B764" s="16"/>
      <c r="C764" s="17">
        <v>950557</v>
      </c>
      <c r="D764" s="63" t="s">
        <v>377</v>
      </c>
      <c r="E764" s="70" t="s">
        <v>35</v>
      </c>
      <c r="F764" s="18">
        <v>3397.68</v>
      </c>
      <c r="G764" s="18">
        <v>102</v>
      </c>
      <c r="H764" s="18">
        <v>1626.17</v>
      </c>
      <c r="I764" s="70">
        <v>1728.17</v>
      </c>
      <c r="J764" s="18"/>
      <c r="K764" s="18">
        <v>1669.51</v>
      </c>
      <c r="L764" s="18">
        <v>15.1</v>
      </c>
      <c r="M764" s="18">
        <v>51304.959999999999</v>
      </c>
      <c r="N764" s="18">
        <v>1540.2</v>
      </c>
      <c r="O764" s="18">
        <v>24555.119999999999</v>
      </c>
      <c r="P764" s="18">
        <v>26095.32</v>
      </c>
      <c r="Q764" s="19">
        <f t="shared" si="9"/>
        <v>25209.600999999999</v>
      </c>
    </row>
    <row r="765" spans="1:17" x14ac:dyDescent="0.2">
      <c r="A765" s="16"/>
      <c r="B765" s="16"/>
      <c r="C765" s="16"/>
      <c r="D765" s="64"/>
      <c r="E765" s="71"/>
      <c r="F765" s="16"/>
      <c r="G765" s="16"/>
      <c r="H765" s="16"/>
      <c r="I765" s="71"/>
      <c r="J765" s="16"/>
      <c r="K765" s="16"/>
      <c r="L765" s="16"/>
      <c r="M765" s="16"/>
      <c r="N765" s="16"/>
      <c r="O765" s="16"/>
      <c r="P765" s="16"/>
      <c r="Q765" s="19">
        <f t="shared" si="9"/>
        <v>0</v>
      </c>
    </row>
    <row r="766" spans="1:17" x14ac:dyDescent="0.2">
      <c r="A766" s="16"/>
      <c r="B766" s="16"/>
      <c r="C766" s="16"/>
      <c r="D766" s="64"/>
      <c r="E766" s="71"/>
      <c r="F766" s="16"/>
      <c r="G766" s="16"/>
      <c r="H766" s="16"/>
      <c r="I766" s="71"/>
      <c r="J766" s="16"/>
      <c r="K766" s="16"/>
      <c r="L766" s="16"/>
      <c r="M766" s="16"/>
      <c r="N766" s="16"/>
      <c r="O766" s="16"/>
      <c r="P766" s="16"/>
      <c r="Q766" s="19">
        <f t="shared" si="9"/>
        <v>0</v>
      </c>
    </row>
    <row r="767" spans="1:17" ht="15" outlineLevel="2" x14ac:dyDescent="0.2">
      <c r="A767" s="17">
        <v>180100</v>
      </c>
      <c r="B767" s="16"/>
      <c r="C767" s="17">
        <v>648611</v>
      </c>
      <c r="D767" s="65" t="s">
        <v>36</v>
      </c>
      <c r="E767" s="71"/>
      <c r="F767" s="18" t="s">
        <v>9</v>
      </c>
      <c r="G767" s="18">
        <v>0</v>
      </c>
      <c r="H767" s="18">
        <v>0</v>
      </c>
      <c r="I767" s="70">
        <v>0</v>
      </c>
      <c r="J767" s="18"/>
      <c r="K767" s="18">
        <v>0</v>
      </c>
      <c r="L767" s="18" t="s">
        <v>9</v>
      </c>
      <c r="M767" s="18" t="s">
        <v>9</v>
      </c>
      <c r="N767" s="18">
        <v>0</v>
      </c>
      <c r="O767" s="18">
        <v>0</v>
      </c>
      <c r="P767" s="18">
        <v>0</v>
      </c>
      <c r="Q767" s="19">
        <f t="shared" si="9"/>
        <v>0</v>
      </c>
    </row>
    <row r="768" spans="1:17" ht="28.5" outlineLevel="2" x14ac:dyDescent="0.2">
      <c r="A768" s="17">
        <v>180101</v>
      </c>
      <c r="B768" s="16"/>
      <c r="C768" s="17">
        <v>925472</v>
      </c>
      <c r="D768" s="63" t="s">
        <v>37</v>
      </c>
      <c r="E768" s="71"/>
      <c r="F768" s="18" t="s">
        <v>9</v>
      </c>
      <c r="G768" s="18">
        <v>0</v>
      </c>
      <c r="H768" s="18">
        <v>0</v>
      </c>
      <c r="I768" s="70">
        <v>0</v>
      </c>
      <c r="J768" s="18"/>
      <c r="K768" s="18">
        <v>0</v>
      </c>
      <c r="L768" s="18" t="s">
        <v>9</v>
      </c>
      <c r="M768" s="18" t="s">
        <v>9</v>
      </c>
      <c r="N768" s="18">
        <v>0</v>
      </c>
      <c r="O768" s="18">
        <v>0</v>
      </c>
      <c r="P768" s="18">
        <v>0</v>
      </c>
      <c r="Q768" s="19">
        <f t="shared" si="9"/>
        <v>0</v>
      </c>
    </row>
    <row r="769" spans="1:17" ht="57" outlineLevel="2" x14ac:dyDescent="0.2">
      <c r="A769" s="17">
        <v>180102</v>
      </c>
      <c r="B769" s="16"/>
      <c r="C769" s="17">
        <v>920137</v>
      </c>
      <c r="D769" s="63" t="s">
        <v>51</v>
      </c>
      <c r="E769" s="70" t="s">
        <v>10</v>
      </c>
      <c r="F769" s="18">
        <v>986.1</v>
      </c>
      <c r="G769" s="18">
        <v>0</v>
      </c>
      <c r="H769" s="18">
        <v>986.1</v>
      </c>
      <c r="I769" s="70">
        <v>986.1</v>
      </c>
      <c r="J769" s="18"/>
      <c r="K769" s="18">
        <v>0</v>
      </c>
      <c r="L769" s="18">
        <v>0.55000000000000004</v>
      </c>
      <c r="M769" s="18">
        <v>542.35</v>
      </c>
      <c r="N769" s="18">
        <v>0</v>
      </c>
      <c r="O769" s="18">
        <v>542.35</v>
      </c>
      <c r="P769" s="18">
        <v>542.35</v>
      </c>
      <c r="Q769" s="19">
        <f t="shared" si="9"/>
        <v>0</v>
      </c>
    </row>
    <row r="770" spans="1:17" ht="42.75" outlineLevel="2" x14ac:dyDescent="0.2">
      <c r="A770" s="17">
        <v>180103</v>
      </c>
      <c r="B770" s="16"/>
      <c r="C770" s="17">
        <v>949478</v>
      </c>
      <c r="D770" s="63" t="s">
        <v>56</v>
      </c>
      <c r="E770" s="70" t="s">
        <v>11</v>
      </c>
      <c r="F770" s="18">
        <v>177.23</v>
      </c>
      <c r="G770" s="18">
        <v>0</v>
      </c>
      <c r="H770" s="18">
        <v>177.23</v>
      </c>
      <c r="I770" s="70">
        <v>177.23</v>
      </c>
      <c r="J770" s="18"/>
      <c r="K770" s="18">
        <v>0</v>
      </c>
      <c r="L770" s="18">
        <v>18.54</v>
      </c>
      <c r="M770" s="18">
        <v>3285.84</v>
      </c>
      <c r="N770" s="18">
        <v>0</v>
      </c>
      <c r="O770" s="18">
        <v>3285.84</v>
      </c>
      <c r="P770" s="18">
        <v>3285.84</v>
      </c>
      <c r="Q770" s="19">
        <f t="shared" si="9"/>
        <v>0</v>
      </c>
    </row>
    <row r="771" spans="1:17" ht="57" outlineLevel="2" x14ac:dyDescent="0.2">
      <c r="A771" s="17">
        <v>180104</v>
      </c>
      <c r="B771" s="16"/>
      <c r="C771" s="17">
        <v>949479</v>
      </c>
      <c r="D771" s="63" t="s">
        <v>57</v>
      </c>
      <c r="E771" s="70" t="s">
        <v>12</v>
      </c>
      <c r="F771" s="18">
        <v>3544.6</v>
      </c>
      <c r="G771" s="18">
        <v>0</v>
      </c>
      <c r="H771" s="18">
        <v>3544.6</v>
      </c>
      <c r="I771" s="70">
        <v>3544.6</v>
      </c>
      <c r="J771" s="18"/>
      <c r="K771" s="18">
        <v>0</v>
      </c>
      <c r="L771" s="18">
        <v>1.2</v>
      </c>
      <c r="M771" s="18">
        <v>4253.5200000000004</v>
      </c>
      <c r="N771" s="18">
        <v>0</v>
      </c>
      <c r="O771" s="18">
        <v>4253.5200000000004</v>
      </c>
      <c r="P771" s="18">
        <v>4253.5200000000004</v>
      </c>
      <c r="Q771" s="19">
        <f t="shared" si="9"/>
        <v>0</v>
      </c>
    </row>
    <row r="772" spans="1:17" ht="28.5" outlineLevel="2" x14ac:dyDescent="0.2">
      <c r="A772" s="17">
        <v>180105</v>
      </c>
      <c r="B772" s="16"/>
      <c r="C772" s="17">
        <v>921119</v>
      </c>
      <c r="D772" s="63" t="s">
        <v>63</v>
      </c>
      <c r="E772" s="70" t="s">
        <v>11</v>
      </c>
      <c r="F772" s="18">
        <v>43.27</v>
      </c>
      <c r="G772" s="18">
        <v>0</v>
      </c>
      <c r="H772" s="18">
        <v>32.06</v>
      </c>
      <c r="I772" s="70">
        <v>32.06</v>
      </c>
      <c r="J772" s="18"/>
      <c r="K772" s="18">
        <v>11.21</v>
      </c>
      <c r="L772" s="18">
        <v>54.83</v>
      </c>
      <c r="M772" s="18">
        <v>2372.4899999999998</v>
      </c>
      <c r="N772" s="18">
        <v>0</v>
      </c>
      <c r="O772" s="18">
        <v>1757.84</v>
      </c>
      <c r="P772" s="18">
        <v>1757.84</v>
      </c>
      <c r="Q772" s="19">
        <f t="shared" si="9"/>
        <v>614.64430000000004</v>
      </c>
    </row>
    <row r="773" spans="1:17" ht="85.5" outlineLevel="2" x14ac:dyDescent="0.2">
      <c r="A773" s="17">
        <v>180106</v>
      </c>
      <c r="B773" s="16"/>
      <c r="C773" s="17">
        <v>925473</v>
      </c>
      <c r="D773" s="63" t="s">
        <v>378</v>
      </c>
      <c r="E773" s="70" t="s">
        <v>11</v>
      </c>
      <c r="F773" s="18">
        <v>8.6300000000000008</v>
      </c>
      <c r="G773" s="18">
        <v>0</v>
      </c>
      <c r="H773" s="18">
        <v>8.6300000000000008</v>
      </c>
      <c r="I773" s="70">
        <v>8.6300000000000008</v>
      </c>
      <c r="J773" s="18" t="s">
        <v>45</v>
      </c>
      <c r="K773" s="18">
        <v>0</v>
      </c>
      <c r="L773" s="18">
        <v>43.57</v>
      </c>
      <c r="M773" s="18">
        <v>376</v>
      </c>
      <c r="N773" s="18">
        <v>0</v>
      </c>
      <c r="O773" s="18">
        <v>376</v>
      </c>
      <c r="P773" s="18">
        <v>376</v>
      </c>
      <c r="Q773" s="19">
        <f t="shared" si="9"/>
        <v>0</v>
      </c>
    </row>
    <row r="774" spans="1:17" ht="99.75" outlineLevel="2" x14ac:dyDescent="0.2">
      <c r="A774" s="17">
        <v>180107</v>
      </c>
      <c r="B774" s="16"/>
      <c r="C774" s="17">
        <v>923560</v>
      </c>
      <c r="D774" s="63" t="s">
        <v>379</v>
      </c>
      <c r="E774" s="70" t="s">
        <v>11</v>
      </c>
      <c r="F774" s="18">
        <v>0.32</v>
      </c>
      <c r="G774" s="18">
        <v>0</v>
      </c>
      <c r="H774" s="18">
        <v>0.32</v>
      </c>
      <c r="I774" s="70">
        <v>0.32</v>
      </c>
      <c r="J774" s="18"/>
      <c r="K774" s="18">
        <v>0</v>
      </c>
      <c r="L774" s="18">
        <v>181.88</v>
      </c>
      <c r="M774" s="18">
        <v>58.2</v>
      </c>
      <c r="N774" s="18">
        <v>0</v>
      </c>
      <c r="O774" s="18">
        <v>58.2</v>
      </c>
      <c r="P774" s="18">
        <v>58.2</v>
      </c>
      <c r="Q774" s="19">
        <f t="shared" si="9"/>
        <v>0</v>
      </c>
    </row>
    <row r="775" spans="1:17" ht="57" outlineLevel="2" x14ac:dyDescent="0.2">
      <c r="A775" s="17">
        <v>180108</v>
      </c>
      <c r="B775" s="16"/>
      <c r="C775" s="17">
        <v>925474</v>
      </c>
      <c r="D775" s="63" t="s">
        <v>38</v>
      </c>
      <c r="E775" s="70" t="s">
        <v>10</v>
      </c>
      <c r="F775" s="18">
        <v>2.15</v>
      </c>
      <c r="G775" s="18">
        <v>0</v>
      </c>
      <c r="H775" s="18">
        <v>2.15</v>
      </c>
      <c r="I775" s="70">
        <v>2.15</v>
      </c>
      <c r="J775" s="18"/>
      <c r="K775" s="18">
        <v>0</v>
      </c>
      <c r="L775" s="18">
        <v>10.39</v>
      </c>
      <c r="M775" s="18">
        <v>22.33</v>
      </c>
      <c r="N775" s="18">
        <v>0</v>
      </c>
      <c r="O775" s="18">
        <v>22.33</v>
      </c>
      <c r="P775" s="18">
        <v>22.33</v>
      </c>
      <c r="Q775" s="19">
        <f t="shared" si="9"/>
        <v>0</v>
      </c>
    </row>
    <row r="776" spans="1:17" ht="71.25" outlineLevel="2" x14ac:dyDescent="0.2">
      <c r="A776" s="17">
        <v>180109</v>
      </c>
      <c r="B776" s="16"/>
      <c r="C776" s="17">
        <v>925475</v>
      </c>
      <c r="D776" s="63" t="s">
        <v>380</v>
      </c>
      <c r="E776" s="70" t="s">
        <v>10</v>
      </c>
      <c r="F776" s="18">
        <v>109.82</v>
      </c>
      <c r="G776" s="18">
        <v>0</v>
      </c>
      <c r="H776" s="18">
        <v>33</v>
      </c>
      <c r="I776" s="70">
        <v>33</v>
      </c>
      <c r="J776" s="18"/>
      <c r="K776" s="18">
        <v>76.819999999999993</v>
      </c>
      <c r="L776" s="18">
        <v>30.57</v>
      </c>
      <c r="M776" s="18">
        <v>3357.19</v>
      </c>
      <c r="N776" s="18">
        <v>0</v>
      </c>
      <c r="O776" s="18">
        <v>1008.81</v>
      </c>
      <c r="P776" s="18">
        <v>1008.81</v>
      </c>
      <c r="Q776" s="19">
        <f t="shared" si="9"/>
        <v>2348.3873999999996</v>
      </c>
    </row>
    <row r="777" spans="1:17" ht="71.25" outlineLevel="2" x14ac:dyDescent="0.2">
      <c r="A777" s="17">
        <v>180110</v>
      </c>
      <c r="B777" s="16"/>
      <c r="C777" s="17">
        <v>925476</v>
      </c>
      <c r="D777" s="63" t="s">
        <v>381</v>
      </c>
      <c r="E777" s="70" t="s">
        <v>16</v>
      </c>
      <c r="F777" s="18">
        <v>440</v>
      </c>
      <c r="G777" s="18">
        <v>0</v>
      </c>
      <c r="H777" s="18">
        <v>440</v>
      </c>
      <c r="I777" s="70">
        <v>440</v>
      </c>
      <c r="J777" s="18"/>
      <c r="K777" s="18">
        <v>0</v>
      </c>
      <c r="L777" s="18">
        <v>6.86</v>
      </c>
      <c r="M777" s="18">
        <v>3018.4</v>
      </c>
      <c r="N777" s="18">
        <v>0</v>
      </c>
      <c r="O777" s="18">
        <v>3018.4</v>
      </c>
      <c r="P777" s="18">
        <v>3018.4</v>
      </c>
      <c r="Q777" s="19">
        <f t="shared" si="9"/>
        <v>0</v>
      </c>
    </row>
    <row r="778" spans="1:17" ht="71.25" outlineLevel="2" x14ac:dyDescent="0.2">
      <c r="A778" s="17">
        <v>180111</v>
      </c>
      <c r="B778" s="16"/>
      <c r="C778" s="17">
        <v>923323</v>
      </c>
      <c r="D778" s="63" t="s">
        <v>382</v>
      </c>
      <c r="E778" s="70" t="s">
        <v>11</v>
      </c>
      <c r="F778" s="18">
        <v>14.43</v>
      </c>
      <c r="G778" s="18">
        <v>0</v>
      </c>
      <c r="H778" s="18">
        <v>5.5</v>
      </c>
      <c r="I778" s="70">
        <v>5.5</v>
      </c>
      <c r="J778" s="18"/>
      <c r="K778" s="18">
        <v>8.93</v>
      </c>
      <c r="L778" s="18">
        <v>315.89999999999998</v>
      </c>
      <c r="M778" s="18">
        <v>4558.43</v>
      </c>
      <c r="N778" s="18">
        <v>0</v>
      </c>
      <c r="O778" s="18">
        <v>1737.45</v>
      </c>
      <c r="P778" s="18">
        <v>1737.45</v>
      </c>
      <c r="Q778" s="19">
        <f t="shared" si="9"/>
        <v>2820.9869999999996</v>
      </c>
    </row>
    <row r="779" spans="1:17" ht="42.75" outlineLevel="2" x14ac:dyDescent="0.2">
      <c r="A779" s="17">
        <v>180112</v>
      </c>
      <c r="B779" s="16"/>
      <c r="C779" s="17">
        <v>925477</v>
      </c>
      <c r="D779" s="63" t="s">
        <v>383</v>
      </c>
      <c r="E779" s="70" t="s">
        <v>16</v>
      </c>
      <c r="F779" s="18">
        <v>110</v>
      </c>
      <c r="G779" s="18">
        <v>0</v>
      </c>
      <c r="H779" s="18">
        <v>110</v>
      </c>
      <c r="I779" s="70">
        <v>110</v>
      </c>
      <c r="J779" s="18"/>
      <c r="K779" s="18">
        <v>0</v>
      </c>
      <c r="L779" s="18">
        <v>7.52</v>
      </c>
      <c r="M779" s="18">
        <v>827.2</v>
      </c>
      <c r="N779" s="18">
        <v>0</v>
      </c>
      <c r="O779" s="18">
        <v>827.2</v>
      </c>
      <c r="P779" s="18">
        <v>827.2</v>
      </c>
      <c r="Q779" s="19">
        <f t="shared" si="9"/>
        <v>0</v>
      </c>
    </row>
    <row r="780" spans="1:17" ht="42.75" outlineLevel="2" x14ac:dyDescent="0.2">
      <c r="A780" s="17">
        <v>180113</v>
      </c>
      <c r="B780" s="16"/>
      <c r="C780" s="17">
        <v>948721</v>
      </c>
      <c r="D780" s="63" t="s">
        <v>70</v>
      </c>
      <c r="E780" s="70" t="s">
        <v>11</v>
      </c>
      <c r="F780" s="18">
        <v>5.5</v>
      </c>
      <c r="G780" s="18">
        <v>0</v>
      </c>
      <c r="H780" s="18">
        <v>5.5</v>
      </c>
      <c r="I780" s="70">
        <v>5.5</v>
      </c>
      <c r="J780" s="18"/>
      <c r="K780" s="18">
        <v>0</v>
      </c>
      <c r="L780" s="18">
        <v>90.89</v>
      </c>
      <c r="M780" s="18">
        <v>499.89</v>
      </c>
      <c r="N780" s="18">
        <v>0</v>
      </c>
      <c r="O780" s="18">
        <v>499.89</v>
      </c>
      <c r="P780" s="18">
        <v>499.89</v>
      </c>
      <c r="Q780" s="19">
        <f t="shared" si="9"/>
        <v>0</v>
      </c>
    </row>
    <row r="781" spans="1:17" ht="57" outlineLevel="2" x14ac:dyDescent="0.2">
      <c r="A781" s="17">
        <v>180114</v>
      </c>
      <c r="B781" s="16"/>
      <c r="C781" s="17">
        <v>920385</v>
      </c>
      <c r="D781" s="63" t="s">
        <v>384</v>
      </c>
      <c r="E781" s="70" t="s">
        <v>16</v>
      </c>
      <c r="F781" s="18">
        <v>1389.9</v>
      </c>
      <c r="G781" s="18">
        <v>0</v>
      </c>
      <c r="H781" s="18">
        <v>1389.9</v>
      </c>
      <c r="I781" s="70">
        <v>1389.9</v>
      </c>
      <c r="J781" s="18"/>
      <c r="K781" s="18">
        <v>0</v>
      </c>
      <c r="L781" s="18">
        <v>7.51</v>
      </c>
      <c r="M781" s="18">
        <v>10438.14</v>
      </c>
      <c r="N781" s="18">
        <v>0</v>
      </c>
      <c r="O781" s="18">
        <v>10438.14</v>
      </c>
      <c r="P781" s="18">
        <v>10438.14</v>
      </c>
      <c r="Q781" s="19">
        <f t="shared" si="9"/>
        <v>0</v>
      </c>
    </row>
    <row r="782" spans="1:17" ht="71.25" outlineLevel="2" x14ac:dyDescent="0.2">
      <c r="A782" s="17">
        <v>180115</v>
      </c>
      <c r="B782" s="16"/>
      <c r="C782" s="17">
        <v>925478</v>
      </c>
      <c r="D782" s="63" t="s">
        <v>385</v>
      </c>
      <c r="E782" s="70" t="s">
        <v>16</v>
      </c>
      <c r="F782" s="18">
        <v>327.10000000000002</v>
      </c>
      <c r="G782" s="18">
        <v>0</v>
      </c>
      <c r="H782" s="18">
        <v>43.7</v>
      </c>
      <c r="I782" s="70">
        <v>43.7</v>
      </c>
      <c r="J782" s="18"/>
      <c r="K782" s="18">
        <v>283.39999999999998</v>
      </c>
      <c r="L782" s="18">
        <v>6.26</v>
      </c>
      <c r="M782" s="18">
        <v>2047.64</v>
      </c>
      <c r="N782" s="18">
        <v>0</v>
      </c>
      <c r="O782" s="18">
        <v>273.56</v>
      </c>
      <c r="P782" s="18">
        <v>273.56</v>
      </c>
      <c r="Q782" s="19">
        <f t="shared" si="9"/>
        <v>1774.0839999999998</v>
      </c>
    </row>
    <row r="783" spans="1:17" ht="57" outlineLevel="2" x14ac:dyDescent="0.2">
      <c r="A783" s="17">
        <v>180116</v>
      </c>
      <c r="B783" s="16"/>
      <c r="C783" s="17">
        <v>920386</v>
      </c>
      <c r="D783" s="63" t="s">
        <v>73</v>
      </c>
      <c r="E783" s="70" t="s">
        <v>16</v>
      </c>
      <c r="F783" s="18">
        <v>358.4</v>
      </c>
      <c r="G783" s="18">
        <v>0</v>
      </c>
      <c r="H783" s="18">
        <v>358.4</v>
      </c>
      <c r="I783" s="70">
        <v>358.4</v>
      </c>
      <c r="J783" s="18"/>
      <c r="K783" s="18">
        <v>0</v>
      </c>
      <c r="L783" s="18">
        <v>7.2</v>
      </c>
      <c r="M783" s="18">
        <v>2580.48</v>
      </c>
      <c r="N783" s="18">
        <v>0</v>
      </c>
      <c r="O783" s="18">
        <v>2580.48</v>
      </c>
      <c r="P783" s="18">
        <v>2580.48</v>
      </c>
      <c r="Q783" s="19">
        <f t="shared" si="9"/>
        <v>0</v>
      </c>
    </row>
    <row r="784" spans="1:17" ht="57" outlineLevel="2" x14ac:dyDescent="0.2">
      <c r="A784" s="17">
        <v>180117</v>
      </c>
      <c r="B784" s="16"/>
      <c r="C784" s="17">
        <v>922338</v>
      </c>
      <c r="D784" s="63" t="s">
        <v>74</v>
      </c>
      <c r="E784" s="70" t="s">
        <v>10</v>
      </c>
      <c r="F784" s="18">
        <v>73.16</v>
      </c>
      <c r="G784" s="18">
        <v>0</v>
      </c>
      <c r="H784" s="18">
        <v>19.48</v>
      </c>
      <c r="I784" s="70">
        <v>19.48</v>
      </c>
      <c r="J784" s="18"/>
      <c r="K784" s="18">
        <v>53.68</v>
      </c>
      <c r="L784" s="18">
        <v>8.33</v>
      </c>
      <c r="M784" s="18">
        <v>609.41999999999996</v>
      </c>
      <c r="N784" s="18">
        <v>0</v>
      </c>
      <c r="O784" s="18">
        <v>162.26</v>
      </c>
      <c r="P784" s="18">
        <v>162.26</v>
      </c>
      <c r="Q784" s="19">
        <f t="shared" si="9"/>
        <v>447.15440000000001</v>
      </c>
    </row>
    <row r="785" spans="1:17" x14ac:dyDescent="0.2">
      <c r="A785" s="16"/>
      <c r="B785" s="16"/>
      <c r="C785" s="16"/>
      <c r="D785" s="64"/>
      <c r="E785" s="71"/>
      <c r="F785" s="16"/>
      <c r="G785" s="16"/>
      <c r="H785" s="16"/>
      <c r="I785" s="71"/>
      <c r="J785" s="16"/>
      <c r="K785" s="16"/>
      <c r="L785" s="16"/>
      <c r="M785" s="16"/>
      <c r="N785" s="16"/>
      <c r="O785" s="16"/>
      <c r="P785" s="16"/>
      <c r="Q785" s="19">
        <f t="shared" si="9"/>
        <v>0</v>
      </c>
    </row>
    <row r="786" spans="1:17" x14ac:dyDescent="0.2">
      <c r="A786" s="16"/>
      <c r="B786" s="16"/>
      <c r="C786" s="16"/>
      <c r="D786" s="64"/>
      <c r="E786" s="71"/>
      <c r="F786" s="16"/>
      <c r="G786" s="16"/>
      <c r="H786" s="16"/>
      <c r="I786" s="71"/>
      <c r="J786" s="16"/>
      <c r="K786" s="16"/>
      <c r="L786" s="16"/>
      <c r="M786" s="16"/>
      <c r="N786" s="16"/>
      <c r="O786" s="16"/>
      <c r="P786" s="16"/>
      <c r="Q786" s="19">
        <f t="shared" si="9"/>
        <v>0</v>
      </c>
    </row>
    <row r="787" spans="1:17" ht="15" outlineLevel="2" x14ac:dyDescent="0.2">
      <c r="A787" s="17">
        <v>190100</v>
      </c>
      <c r="B787" s="16"/>
      <c r="C787" s="17">
        <v>951300</v>
      </c>
      <c r="D787" s="65" t="s">
        <v>17</v>
      </c>
      <c r="E787" s="71"/>
      <c r="F787" s="18" t="s">
        <v>9</v>
      </c>
      <c r="G787" s="18">
        <v>0</v>
      </c>
      <c r="H787" s="18">
        <v>0</v>
      </c>
      <c r="I787" s="70">
        <v>0</v>
      </c>
      <c r="J787" s="18"/>
      <c r="K787" s="18">
        <v>0</v>
      </c>
      <c r="L787" s="18" t="s">
        <v>9</v>
      </c>
      <c r="M787" s="18" t="s">
        <v>9</v>
      </c>
      <c r="N787" s="18">
        <v>0</v>
      </c>
      <c r="O787" s="18">
        <v>0</v>
      </c>
      <c r="P787" s="18">
        <v>0</v>
      </c>
      <c r="Q787" s="19">
        <f t="shared" si="9"/>
        <v>0</v>
      </c>
    </row>
    <row r="788" spans="1:17" ht="128.25" outlineLevel="2" x14ac:dyDescent="0.2">
      <c r="A788" s="17">
        <v>190101</v>
      </c>
      <c r="B788" s="16"/>
      <c r="C788" s="17">
        <v>923494</v>
      </c>
      <c r="D788" s="63" t="s">
        <v>386</v>
      </c>
      <c r="E788" s="70" t="s">
        <v>10</v>
      </c>
      <c r="F788" s="18">
        <v>91.17</v>
      </c>
      <c r="G788" s="18">
        <v>0</v>
      </c>
      <c r="H788" s="18">
        <v>0</v>
      </c>
      <c r="I788" s="70">
        <v>0</v>
      </c>
      <c r="J788" s="18"/>
      <c r="K788" s="18">
        <v>91.17</v>
      </c>
      <c r="L788" s="18">
        <v>55.45</v>
      </c>
      <c r="M788" s="18">
        <v>5055.37</v>
      </c>
      <c r="N788" s="18">
        <v>0</v>
      </c>
      <c r="O788" s="18">
        <v>0</v>
      </c>
      <c r="P788" s="18">
        <v>0</v>
      </c>
      <c r="Q788" s="19">
        <f t="shared" si="9"/>
        <v>5055.3765000000003</v>
      </c>
    </row>
    <row r="789" spans="1:17" ht="99.75" outlineLevel="2" x14ac:dyDescent="0.2">
      <c r="A789" s="17">
        <v>190102</v>
      </c>
      <c r="B789" s="16"/>
      <c r="C789" s="17">
        <v>925479</v>
      </c>
      <c r="D789" s="63" t="s">
        <v>387</v>
      </c>
      <c r="E789" s="70" t="s">
        <v>11</v>
      </c>
      <c r="F789" s="18">
        <v>7.39</v>
      </c>
      <c r="G789" s="18">
        <v>0</v>
      </c>
      <c r="H789" s="18">
        <v>0</v>
      </c>
      <c r="I789" s="70">
        <v>0</v>
      </c>
      <c r="J789" s="18"/>
      <c r="K789" s="18">
        <v>7.39</v>
      </c>
      <c r="L789" s="18">
        <v>364.22</v>
      </c>
      <c r="M789" s="18">
        <v>2691.58</v>
      </c>
      <c r="N789" s="18">
        <v>0</v>
      </c>
      <c r="O789" s="18">
        <v>0</v>
      </c>
      <c r="P789" s="18">
        <v>0</v>
      </c>
      <c r="Q789" s="19">
        <f t="shared" si="9"/>
        <v>2691.5858000000003</v>
      </c>
    </row>
    <row r="790" spans="1:17" ht="99.75" outlineLevel="2" x14ac:dyDescent="0.2">
      <c r="A790" s="17">
        <v>190103</v>
      </c>
      <c r="B790" s="16"/>
      <c r="C790" s="17">
        <v>925480</v>
      </c>
      <c r="D790" s="63" t="s">
        <v>388</v>
      </c>
      <c r="E790" s="70" t="s">
        <v>16</v>
      </c>
      <c r="F790" s="18">
        <v>446.2</v>
      </c>
      <c r="G790" s="18">
        <v>0</v>
      </c>
      <c r="H790" s="18">
        <v>0</v>
      </c>
      <c r="I790" s="70">
        <v>0</v>
      </c>
      <c r="J790" s="18"/>
      <c r="K790" s="18">
        <v>446.2</v>
      </c>
      <c r="L790" s="18">
        <v>7.54</v>
      </c>
      <c r="M790" s="18">
        <v>3364.34</v>
      </c>
      <c r="N790" s="18">
        <v>0</v>
      </c>
      <c r="O790" s="18">
        <v>0</v>
      </c>
      <c r="P790" s="18">
        <v>0</v>
      </c>
      <c r="Q790" s="19">
        <f t="shared" si="9"/>
        <v>3364.348</v>
      </c>
    </row>
    <row r="791" spans="1:17" ht="99.75" outlineLevel="2" x14ac:dyDescent="0.2">
      <c r="A791" s="17">
        <v>190104</v>
      </c>
      <c r="B791" s="16"/>
      <c r="C791" s="17">
        <v>923495</v>
      </c>
      <c r="D791" s="63" t="s">
        <v>78</v>
      </c>
      <c r="E791" s="70" t="s">
        <v>16</v>
      </c>
      <c r="F791" s="18">
        <v>130.4</v>
      </c>
      <c r="G791" s="18">
        <v>0</v>
      </c>
      <c r="H791" s="18">
        <v>0</v>
      </c>
      <c r="I791" s="70">
        <v>0</v>
      </c>
      <c r="J791" s="18"/>
      <c r="K791" s="18">
        <v>130.4</v>
      </c>
      <c r="L791" s="18">
        <v>12</v>
      </c>
      <c r="M791" s="18">
        <v>1564.8</v>
      </c>
      <c r="N791" s="18">
        <v>0</v>
      </c>
      <c r="O791" s="18">
        <v>0</v>
      </c>
      <c r="P791" s="18">
        <v>0</v>
      </c>
      <c r="Q791" s="19">
        <f t="shared" si="9"/>
        <v>1564.8000000000002</v>
      </c>
    </row>
    <row r="792" spans="1:17" ht="71.25" outlineLevel="2" x14ac:dyDescent="0.2">
      <c r="A792" s="17">
        <v>190105</v>
      </c>
      <c r="B792" s="16"/>
      <c r="C792" s="17">
        <v>960118</v>
      </c>
      <c r="D792" s="63" t="s">
        <v>62</v>
      </c>
      <c r="E792" s="70" t="s">
        <v>11</v>
      </c>
      <c r="F792" s="18">
        <v>98.61</v>
      </c>
      <c r="G792" s="18">
        <v>0</v>
      </c>
      <c r="H792" s="18">
        <v>0</v>
      </c>
      <c r="I792" s="70">
        <v>0</v>
      </c>
      <c r="J792" s="18"/>
      <c r="K792" s="18">
        <v>98.61</v>
      </c>
      <c r="L792" s="18">
        <v>5.54</v>
      </c>
      <c r="M792" s="18">
        <v>546.29</v>
      </c>
      <c r="N792" s="18">
        <v>0</v>
      </c>
      <c r="O792" s="18">
        <v>0</v>
      </c>
      <c r="P792" s="18">
        <v>0</v>
      </c>
      <c r="Q792" s="19">
        <f t="shared" si="9"/>
        <v>546.29939999999999</v>
      </c>
    </row>
    <row r="793" spans="1:17" ht="57" outlineLevel="2" x14ac:dyDescent="0.2">
      <c r="A793" s="17">
        <v>190106</v>
      </c>
      <c r="B793" s="16"/>
      <c r="C793" s="17">
        <v>922276</v>
      </c>
      <c r="D793" s="63" t="s">
        <v>362</v>
      </c>
      <c r="E793" s="70" t="s">
        <v>10</v>
      </c>
      <c r="F793" s="18">
        <v>910.65</v>
      </c>
      <c r="G793" s="18">
        <v>0</v>
      </c>
      <c r="H793" s="18">
        <v>0</v>
      </c>
      <c r="I793" s="70">
        <v>0</v>
      </c>
      <c r="J793" s="18"/>
      <c r="K793" s="18">
        <v>910.65</v>
      </c>
      <c r="L793" s="18">
        <v>74.97</v>
      </c>
      <c r="M793" s="18">
        <v>68271.429999999993</v>
      </c>
      <c r="N793" s="18">
        <v>0</v>
      </c>
      <c r="O793" s="18">
        <v>0</v>
      </c>
      <c r="P793" s="18">
        <v>0</v>
      </c>
      <c r="Q793" s="19">
        <f t="shared" si="9"/>
        <v>68271.430500000002</v>
      </c>
    </row>
    <row r="794" spans="1:17" ht="42.75" outlineLevel="2" x14ac:dyDescent="0.2">
      <c r="A794" s="17">
        <v>190107</v>
      </c>
      <c r="B794" s="16"/>
      <c r="C794" s="17">
        <v>925481</v>
      </c>
      <c r="D794" s="63" t="s">
        <v>389</v>
      </c>
      <c r="E794" s="70" t="s">
        <v>10</v>
      </c>
      <c r="F794" s="18">
        <v>910.65</v>
      </c>
      <c r="G794" s="18">
        <v>0</v>
      </c>
      <c r="H794" s="18">
        <v>0</v>
      </c>
      <c r="I794" s="70">
        <v>0</v>
      </c>
      <c r="J794" s="18"/>
      <c r="K794" s="18">
        <v>910.65</v>
      </c>
      <c r="L794" s="18">
        <v>27.08</v>
      </c>
      <c r="M794" s="18">
        <v>24660.400000000001</v>
      </c>
      <c r="N794" s="18">
        <v>0</v>
      </c>
      <c r="O794" s="18">
        <v>0</v>
      </c>
      <c r="P794" s="18">
        <v>0</v>
      </c>
      <c r="Q794" s="19">
        <f t="shared" si="9"/>
        <v>24660.401999999998</v>
      </c>
    </row>
    <row r="795" spans="1:17" x14ac:dyDescent="0.2">
      <c r="A795" s="16"/>
      <c r="B795" s="16"/>
      <c r="C795" s="16"/>
      <c r="D795" s="64"/>
      <c r="E795" s="71"/>
      <c r="F795" s="16"/>
      <c r="G795" s="16"/>
      <c r="H795" s="16"/>
      <c r="I795" s="71"/>
      <c r="J795" s="16"/>
      <c r="K795" s="16"/>
      <c r="L795" s="16"/>
      <c r="M795" s="16"/>
      <c r="N795" s="16"/>
      <c r="O795" s="16"/>
      <c r="P795" s="16"/>
      <c r="Q795" s="19">
        <f t="shared" si="9"/>
        <v>0</v>
      </c>
    </row>
    <row r="796" spans="1:17" x14ac:dyDescent="0.2">
      <c r="A796" s="16"/>
      <c r="B796" s="16"/>
      <c r="C796" s="16"/>
      <c r="D796" s="64"/>
      <c r="E796" s="71"/>
      <c r="F796" s="16"/>
      <c r="G796" s="16"/>
      <c r="H796" s="16"/>
      <c r="I796" s="71"/>
      <c r="J796" s="16"/>
      <c r="K796" s="16"/>
      <c r="L796" s="16"/>
      <c r="M796" s="16"/>
      <c r="N796" s="16"/>
      <c r="O796" s="16"/>
      <c r="P796" s="16"/>
      <c r="Q796" s="19">
        <f t="shared" si="9"/>
        <v>0</v>
      </c>
    </row>
    <row r="797" spans="1:17" ht="30" outlineLevel="2" x14ac:dyDescent="0.2">
      <c r="A797" s="17">
        <v>200100</v>
      </c>
      <c r="B797" s="16"/>
      <c r="C797" s="17">
        <v>925488</v>
      </c>
      <c r="D797" s="65" t="s">
        <v>21</v>
      </c>
      <c r="E797" s="71"/>
      <c r="F797" s="18" t="s">
        <v>9</v>
      </c>
      <c r="G797" s="18">
        <v>0</v>
      </c>
      <c r="H797" s="18">
        <v>0</v>
      </c>
      <c r="I797" s="70">
        <v>0</v>
      </c>
      <c r="J797" s="18"/>
      <c r="K797" s="18">
        <v>0</v>
      </c>
      <c r="L797" s="18" t="s">
        <v>9</v>
      </c>
      <c r="M797" s="18" t="s">
        <v>9</v>
      </c>
      <c r="N797" s="18">
        <v>0</v>
      </c>
      <c r="O797" s="18">
        <v>0</v>
      </c>
      <c r="P797" s="18">
        <v>0</v>
      </c>
      <c r="Q797" s="19">
        <f t="shared" si="9"/>
        <v>0</v>
      </c>
    </row>
    <row r="798" spans="1:17" ht="114" outlineLevel="2" x14ac:dyDescent="0.2">
      <c r="A798" s="17">
        <v>200101</v>
      </c>
      <c r="B798" s="16"/>
      <c r="C798" s="17">
        <v>920882</v>
      </c>
      <c r="D798" s="63" t="s">
        <v>390</v>
      </c>
      <c r="E798" s="70" t="s">
        <v>10</v>
      </c>
      <c r="F798" s="18">
        <v>122.03</v>
      </c>
      <c r="G798" s="18">
        <v>0</v>
      </c>
      <c r="H798" s="18">
        <v>0</v>
      </c>
      <c r="I798" s="70">
        <v>0</v>
      </c>
      <c r="J798" s="18"/>
      <c r="K798" s="18">
        <v>122.08</v>
      </c>
      <c r="L798" s="18">
        <v>54.92</v>
      </c>
      <c r="M798" s="18">
        <v>6701.88</v>
      </c>
      <c r="N798" s="18">
        <v>0</v>
      </c>
      <c r="O798" s="18">
        <v>0</v>
      </c>
      <c r="P798" s="18">
        <v>0</v>
      </c>
      <c r="Q798" s="19">
        <f t="shared" si="9"/>
        <v>6704.6336000000001</v>
      </c>
    </row>
    <row r="799" spans="1:17" ht="71.25" outlineLevel="2" x14ac:dyDescent="0.2">
      <c r="A799" s="17">
        <v>200102</v>
      </c>
      <c r="B799" s="16"/>
      <c r="C799" s="17">
        <v>920783</v>
      </c>
      <c r="D799" s="63" t="s">
        <v>117</v>
      </c>
      <c r="E799" s="70" t="s">
        <v>10</v>
      </c>
      <c r="F799" s="18">
        <v>138.94999999999999</v>
      </c>
      <c r="G799" s="18">
        <v>0</v>
      </c>
      <c r="H799" s="18">
        <v>0</v>
      </c>
      <c r="I799" s="70">
        <v>0</v>
      </c>
      <c r="J799" s="18"/>
      <c r="K799" s="18">
        <v>138.94999999999999</v>
      </c>
      <c r="L799" s="18">
        <v>107.44</v>
      </c>
      <c r="M799" s="18">
        <v>14928.78</v>
      </c>
      <c r="N799" s="18">
        <v>0</v>
      </c>
      <c r="O799" s="18">
        <v>0</v>
      </c>
      <c r="P799" s="18">
        <v>0</v>
      </c>
      <c r="Q799" s="19">
        <f t="shared" si="9"/>
        <v>14928.787999999999</v>
      </c>
    </row>
    <row r="800" spans="1:17" ht="28.5" outlineLevel="2" x14ac:dyDescent="0.2">
      <c r="A800" s="17">
        <v>200103</v>
      </c>
      <c r="B800" s="16"/>
      <c r="C800" s="17">
        <v>925482</v>
      </c>
      <c r="D800" s="63" t="s">
        <v>391</v>
      </c>
      <c r="E800" s="70" t="s">
        <v>10</v>
      </c>
      <c r="F800" s="18">
        <v>58.5</v>
      </c>
      <c r="G800" s="18">
        <v>0</v>
      </c>
      <c r="H800" s="18">
        <v>0</v>
      </c>
      <c r="I800" s="70">
        <v>0</v>
      </c>
      <c r="J800" s="18"/>
      <c r="K800" s="18">
        <v>58.5</v>
      </c>
      <c r="L800" s="18">
        <v>744.42</v>
      </c>
      <c r="M800" s="18">
        <v>43548.57</v>
      </c>
      <c r="N800" s="18">
        <v>0</v>
      </c>
      <c r="O800" s="18">
        <v>0</v>
      </c>
      <c r="P800" s="18">
        <v>0</v>
      </c>
      <c r="Q800" s="19">
        <f t="shared" si="9"/>
        <v>43548.57</v>
      </c>
    </row>
    <row r="801" spans="1:17" x14ac:dyDescent="0.2">
      <c r="A801" s="16"/>
      <c r="B801" s="16"/>
      <c r="C801" s="16"/>
      <c r="D801" s="64"/>
      <c r="E801" s="71"/>
      <c r="F801" s="16"/>
      <c r="G801" s="16"/>
      <c r="H801" s="16"/>
      <c r="I801" s="71"/>
      <c r="J801" s="16"/>
      <c r="K801" s="16"/>
      <c r="L801" s="16"/>
      <c r="M801" s="16"/>
      <c r="N801" s="16"/>
      <c r="O801" s="16"/>
      <c r="P801" s="16"/>
      <c r="Q801" s="19">
        <f t="shared" si="9"/>
        <v>0</v>
      </c>
    </row>
    <row r="802" spans="1:17" x14ac:dyDescent="0.2">
      <c r="A802" s="16"/>
      <c r="B802" s="16"/>
      <c r="C802" s="16"/>
      <c r="D802" s="64"/>
      <c r="E802" s="71"/>
      <c r="F802" s="16"/>
      <c r="G802" s="16"/>
      <c r="H802" s="16"/>
      <c r="I802" s="71"/>
      <c r="J802" s="16"/>
      <c r="K802" s="16"/>
      <c r="L802" s="16"/>
      <c r="M802" s="16"/>
      <c r="N802" s="16"/>
      <c r="O802" s="16"/>
      <c r="P802" s="16"/>
      <c r="Q802" s="19">
        <f t="shared" si="9"/>
        <v>0</v>
      </c>
    </row>
    <row r="803" spans="1:17" ht="45" outlineLevel="2" x14ac:dyDescent="0.2">
      <c r="A803" s="17">
        <v>210100</v>
      </c>
      <c r="B803" s="16"/>
      <c r="C803" s="17">
        <v>925483</v>
      </c>
      <c r="D803" s="65" t="s">
        <v>39</v>
      </c>
      <c r="E803" s="71"/>
      <c r="F803" s="18" t="s">
        <v>9</v>
      </c>
      <c r="G803" s="18">
        <v>0</v>
      </c>
      <c r="H803" s="18">
        <v>0</v>
      </c>
      <c r="I803" s="70">
        <v>0</v>
      </c>
      <c r="J803" s="18"/>
      <c r="K803" s="18">
        <v>0</v>
      </c>
      <c r="L803" s="18" t="s">
        <v>9</v>
      </c>
      <c r="M803" s="18" t="s">
        <v>9</v>
      </c>
      <c r="N803" s="18">
        <v>0</v>
      </c>
      <c r="O803" s="18">
        <v>0</v>
      </c>
      <c r="P803" s="18">
        <v>0</v>
      </c>
      <c r="Q803" s="19">
        <f t="shared" si="9"/>
        <v>0</v>
      </c>
    </row>
    <row r="804" spans="1:17" ht="99.75" outlineLevel="2" x14ac:dyDescent="0.2">
      <c r="A804" s="17">
        <v>210101</v>
      </c>
      <c r="B804" s="16"/>
      <c r="C804" s="17">
        <v>920904</v>
      </c>
      <c r="D804" s="63" t="s">
        <v>392</v>
      </c>
      <c r="E804" s="70" t="s">
        <v>10</v>
      </c>
      <c r="F804" s="18">
        <v>328.07</v>
      </c>
      <c r="G804" s="18">
        <v>0</v>
      </c>
      <c r="H804" s="18">
        <v>0</v>
      </c>
      <c r="I804" s="70">
        <v>0</v>
      </c>
      <c r="J804" s="18"/>
      <c r="K804" s="18">
        <v>328.07</v>
      </c>
      <c r="L804" s="18">
        <v>4.38</v>
      </c>
      <c r="M804" s="18">
        <v>1436.94</v>
      </c>
      <c r="N804" s="18">
        <v>0</v>
      </c>
      <c r="O804" s="18">
        <v>0</v>
      </c>
      <c r="P804" s="18">
        <v>0</v>
      </c>
      <c r="Q804" s="19">
        <f t="shared" si="9"/>
        <v>1436.9466</v>
      </c>
    </row>
    <row r="805" spans="1:17" ht="42.75" outlineLevel="2" x14ac:dyDescent="0.2">
      <c r="A805" s="17">
        <v>210102</v>
      </c>
      <c r="B805" s="16"/>
      <c r="C805" s="17">
        <v>949822</v>
      </c>
      <c r="D805" s="63" t="s">
        <v>393</v>
      </c>
      <c r="E805" s="70" t="s">
        <v>10</v>
      </c>
      <c r="F805" s="18">
        <v>328.07</v>
      </c>
      <c r="G805" s="18">
        <v>0</v>
      </c>
      <c r="H805" s="18">
        <v>0</v>
      </c>
      <c r="I805" s="70">
        <v>0</v>
      </c>
      <c r="J805" s="18"/>
      <c r="K805" s="18">
        <v>328.07</v>
      </c>
      <c r="L805" s="18">
        <v>7.98</v>
      </c>
      <c r="M805" s="18">
        <v>2617.9899999999998</v>
      </c>
      <c r="N805" s="18">
        <v>0</v>
      </c>
      <c r="O805" s="18">
        <v>0</v>
      </c>
      <c r="P805" s="18">
        <v>0</v>
      </c>
      <c r="Q805" s="19">
        <f t="shared" si="9"/>
        <v>2617.9985999999999</v>
      </c>
    </row>
    <row r="806" spans="1:17" ht="42.75" outlineLevel="2" x14ac:dyDescent="0.2">
      <c r="A806" s="17">
        <v>210103</v>
      </c>
      <c r="B806" s="16"/>
      <c r="C806" s="17">
        <v>921974</v>
      </c>
      <c r="D806" s="63" t="s">
        <v>127</v>
      </c>
      <c r="E806" s="70" t="s">
        <v>10</v>
      </c>
      <c r="F806" s="18">
        <v>328.07</v>
      </c>
      <c r="G806" s="18">
        <v>0</v>
      </c>
      <c r="H806" s="18">
        <v>0</v>
      </c>
      <c r="I806" s="70">
        <v>0</v>
      </c>
      <c r="J806" s="18"/>
      <c r="K806" s="18">
        <v>328.07</v>
      </c>
      <c r="L806" s="18">
        <v>1.85</v>
      </c>
      <c r="M806" s="18">
        <v>606.91999999999996</v>
      </c>
      <c r="N806" s="18">
        <v>0</v>
      </c>
      <c r="O806" s="18">
        <v>0</v>
      </c>
      <c r="P806" s="18">
        <v>0</v>
      </c>
      <c r="Q806" s="19">
        <f t="shared" si="9"/>
        <v>606.92949999999996</v>
      </c>
    </row>
    <row r="807" spans="1:17" ht="57" outlineLevel="2" x14ac:dyDescent="0.2">
      <c r="A807" s="17">
        <v>210104</v>
      </c>
      <c r="B807" s="16"/>
      <c r="C807" s="17">
        <v>922117</v>
      </c>
      <c r="D807" s="63" t="s">
        <v>128</v>
      </c>
      <c r="E807" s="70" t="s">
        <v>10</v>
      </c>
      <c r="F807" s="18">
        <v>328.07</v>
      </c>
      <c r="G807" s="18">
        <v>0</v>
      </c>
      <c r="H807" s="18">
        <v>0</v>
      </c>
      <c r="I807" s="70">
        <v>0</v>
      </c>
      <c r="J807" s="18"/>
      <c r="K807" s="18">
        <v>328.07</v>
      </c>
      <c r="L807" s="18">
        <v>10.46</v>
      </c>
      <c r="M807" s="18">
        <v>3431.61</v>
      </c>
      <c r="N807" s="18">
        <v>0</v>
      </c>
      <c r="O807" s="18">
        <v>0</v>
      </c>
      <c r="P807" s="18">
        <v>0</v>
      </c>
      <c r="Q807" s="19">
        <f t="shared" si="9"/>
        <v>3431.6122</v>
      </c>
    </row>
    <row r="808" spans="1:17" ht="42.75" outlineLevel="2" x14ac:dyDescent="0.2">
      <c r="A808" s="17">
        <v>210105</v>
      </c>
      <c r="B808" s="16"/>
      <c r="C808" s="17">
        <v>949729</v>
      </c>
      <c r="D808" s="63" t="s">
        <v>394</v>
      </c>
      <c r="E808" s="70" t="s">
        <v>10</v>
      </c>
      <c r="F808" s="18">
        <v>910.65</v>
      </c>
      <c r="G808" s="18">
        <v>0</v>
      </c>
      <c r="H808" s="18">
        <v>0</v>
      </c>
      <c r="I808" s="70">
        <v>0</v>
      </c>
      <c r="J808" s="18"/>
      <c r="K808" s="18">
        <v>910.65</v>
      </c>
      <c r="L808" s="18">
        <v>16.22</v>
      </c>
      <c r="M808" s="18">
        <v>14770.74</v>
      </c>
      <c r="N808" s="18">
        <v>0</v>
      </c>
      <c r="O808" s="18">
        <v>0</v>
      </c>
      <c r="P808" s="18">
        <v>0</v>
      </c>
      <c r="Q808" s="19">
        <f t="shared" si="9"/>
        <v>14770.742999999999</v>
      </c>
    </row>
    <row r="809" spans="1:17" ht="57" outlineLevel="2" x14ac:dyDescent="0.2">
      <c r="A809" s="17">
        <v>210106</v>
      </c>
      <c r="B809" s="16"/>
      <c r="C809" s="17">
        <v>922583</v>
      </c>
      <c r="D809" s="63" t="s">
        <v>395</v>
      </c>
      <c r="E809" s="70" t="s">
        <v>15</v>
      </c>
      <c r="F809" s="18">
        <v>485.25</v>
      </c>
      <c r="G809" s="18">
        <v>0</v>
      </c>
      <c r="H809" s="18">
        <v>0</v>
      </c>
      <c r="I809" s="70">
        <v>0</v>
      </c>
      <c r="J809" s="18"/>
      <c r="K809" s="18">
        <v>485.25</v>
      </c>
      <c r="L809" s="18">
        <v>9.15</v>
      </c>
      <c r="M809" s="18">
        <v>4440.03</v>
      </c>
      <c r="N809" s="18">
        <v>0</v>
      </c>
      <c r="O809" s="18">
        <v>0</v>
      </c>
      <c r="P809" s="18">
        <v>0</v>
      </c>
      <c r="Q809" s="19">
        <f t="shared" si="9"/>
        <v>4440.0375000000004</v>
      </c>
    </row>
    <row r="810" spans="1:17" x14ac:dyDescent="0.2">
      <c r="A810" s="16"/>
      <c r="B810" s="16"/>
      <c r="C810" s="16"/>
      <c r="D810" s="64"/>
      <c r="E810" s="71"/>
      <c r="F810" s="16"/>
      <c r="G810" s="16"/>
      <c r="H810" s="16"/>
      <c r="I810" s="71"/>
      <c r="J810" s="16"/>
      <c r="K810" s="16"/>
      <c r="L810" s="16"/>
      <c r="M810" s="16"/>
      <c r="N810" s="16"/>
      <c r="O810" s="16"/>
      <c r="P810" s="16"/>
      <c r="Q810" s="19">
        <f t="shared" si="9"/>
        <v>0</v>
      </c>
    </row>
    <row r="811" spans="1:17" x14ac:dyDescent="0.2">
      <c r="A811" s="16"/>
      <c r="B811" s="16"/>
      <c r="C811" s="16"/>
      <c r="D811" s="64"/>
      <c r="E811" s="71"/>
      <c r="F811" s="16"/>
      <c r="G811" s="16"/>
      <c r="H811" s="16"/>
      <c r="I811" s="71"/>
      <c r="J811" s="16"/>
      <c r="K811" s="16"/>
      <c r="L811" s="16"/>
      <c r="M811" s="16"/>
      <c r="N811" s="16"/>
      <c r="O811" s="16"/>
      <c r="P811" s="16"/>
      <c r="Q811" s="19">
        <f t="shared" si="9"/>
        <v>0</v>
      </c>
    </row>
    <row r="812" spans="1:17" ht="30" outlineLevel="2" x14ac:dyDescent="0.2">
      <c r="A812" s="17">
        <v>220100</v>
      </c>
      <c r="B812" s="16"/>
      <c r="C812" s="17">
        <v>925496</v>
      </c>
      <c r="D812" s="65" t="s">
        <v>40</v>
      </c>
      <c r="E812" s="71"/>
      <c r="F812" s="18" t="s">
        <v>9</v>
      </c>
      <c r="G812" s="18">
        <v>0</v>
      </c>
      <c r="H812" s="18">
        <v>0</v>
      </c>
      <c r="I812" s="70">
        <v>0</v>
      </c>
      <c r="J812" s="18"/>
      <c r="K812" s="18">
        <v>0</v>
      </c>
      <c r="L812" s="18" t="s">
        <v>9</v>
      </c>
      <c r="M812" s="18" t="s">
        <v>9</v>
      </c>
      <c r="N812" s="18">
        <v>0</v>
      </c>
      <c r="O812" s="18">
        <v>0</v>
      </c>
      <c r="P812" s="18">
        <v>0</v>
      </c>
      <c r="Q812" s="19">
        <f t="shared" si="9"/>
        <v>0</v>
      </c>
    </row>
    <row r="813" spans="1:17" ht="128.25" outlineLevel="2" x14ac:dyDescent="0.2">
      <c r="A813" s="17">
        <v>220101</v>
      </c>
      <c r="B813" s="16"/>
      <c r="C813" s="17">
        <v>948178</v>
      </c>
      <c r="D813" s="63" t="s">
        <v>260</v>
      </c>
      <c r="E813" s="70" t="s">
        <v>20</v>
      </c>
      <c r="F813" s="18">
        <v>1</v>
      </c>
      <c r="G813" s="18">
        <v>0</v>
      </c>
      <c r="H813" s="18">
        <v>0</v>
      </c>
      <c r="I813" s="70">
        <v>0</v>
      </c>
      <c r="J813" s="18"/>
      <c r="K813" s="18">
        <v>1</v>
      </c>
      <c r="L813" s="18">
        <v>437.66</v>
      </c>
      <c r="M813" s="18">
        <v>437.66</v>
      </c>
      <c r="N813" s="18">
        <v>0</v>
      </c>
      <c r="O813" s="18">
        <v>0</v>
      </c>
      <c r="P813" s="18">
        <v>0</v>
      </c>
      <c r="Q813" s="19">
        <f t="shared" si="9"/>
        <v>437.66</v>
      </c>
    </row>
    <row r="814" spans="1:17" ht="71.25" outlineLevel="2" x14ac:dyDescent="0.2">
      <c r="A814" s="17">
        <v>220102</v>
      </c>
      <c r="B814" s="16"/>
      <c r="C814" s="17">
        <v>920550</v>
      </c>
      <c r="D814" s="63" t="s">
        <v>292</v>
      </c>
      <c r="E814" s="70" t="s">
        <v>20</v>
      </c>
      <c r="F814" s="18">
        <v>10</v>
      </c>
      <c r="G814" s="18">
        <v>0</v>
      </c>
      <c r="H814" s="18">
        <v>0</v>
      </c>
      <c r="I814" s="70">
        <v>0</v>
      </c>
      <c r="J814" s="18"/>
      <c r="K814" s="18">
        <v>10</v>
      </c>
      <c r="L814" s="18">
        <v>20.420000000000002</v>
      </c>
      <c r="M814" s="18">
        <v>204.2</v>
      </c>
      <c r="N814" s="18">
        <v>0</v>
      </c>
      <c r="O814" s="18">
        <v>0</v>
      </c>
      <c r="P814" s="18">
        <v>0</v>
      </c>
      <c r="Q814" s="19">
        <f t="shared" si="9"/>
        <v>204.20000000000002</v>
      </c>
    </row>
    <row r="815" spans="1:17" ht="85.5" outlineLevel="2" x14ac:dyDescent="0.2">
      <c r="A815" s="17">
        <v>220103</v>
      </c>
      <c r="B815" s="16"/>
      <c r="C815" s="17">
        <v>924055</v>
      </c>
      <c r="D815" s="63" t="s">
        <v>294</v>
      </c>
      <c r="E815" s="70" t="s">
        <v>15</v>
      </c>
      <c r="F815" s="18">
        <v>7.18</v>
      </c>
      <c r="G815" s="18">
        <v>0</v>
      </c>
      <c r="H815" s="18">
        <v>0</v>
      </c>
      <c r="I815" s="70">
        <v>0</v>
      </c>
      <c r="J815" s="18"/>
      <c r="K815" s="18">
        <v>7.18</v>
      </c>
      <c r="L815" s="18">
        <v>8.43</v>
      </c>
      <c r="M815" s="18">
        <v>60.52</v>
      </c>
      <c r="N815" s="18">
        <v>0</v>
      </c>
      <c r="O815" s="18">
        <v>0</v>
      </c>
      <c r="P815" s="18">
        <v>0</v>
      </c>
      <c r="Q815" s="19">
        <f t="shared" si="9"/>
        <v>60.527399999999993</v>
      </c>
    </row>
    <row r="816" spans="1:17" ht="85.5" outlineLevel="2" x14ac:dyDescent="0.2">
      <c r="A816" s="17">
        <v>220104</v>
      </c>
      <c r="B816" s="16"/>
      <c r="C816" s="17">
        <v>923000</v>
      </c>
      <c r="D816" s="63" t="s">
        <v>275</v>
      </c>
      <c r="E816" s="70" t="s">
        <v>15</v>
      </c>
      <c r="F816" s="18">
        <v>199.3</v>
      </c>
      <c r="G816" s="18">
        <v>0</v>
      </c>
      <c r="H816" s="18">
        <v>0</v>
      </c>
      <c r="I816" s="70">
        <v>0</v>
      </c>
      <c r="J816" s="18"/>
      <c r="K816" s="18">
        <v>199.3</v>
      </c>
      <c r="L816" s="18">
        <v>8.82</v>
      </c>
      <c r="M816" s="18">
        <v>1757.82</v>
      </c>
      <c r="N816" s="18">
        <v>0</v>
      </c>
      <c r="O816" s="18">
        <v>0</v>
      </c>
      <c r="P816" s="18">
        <v>0</v>
      </c>
      <c r="Q816" s="19">
        <f t="shared" si="9"/>
        <v>1757.8260000000002</v>
      </c>
    </row>
    <row r="817" spans="1:17" ht="57" outlineLevel="2" x14ac:dyDescent="0.2">
      <c r="A817" s="17">
        <v>220105</v>
      </c>
      <c r="B817" s="16"/>
      <c r="C817" s="17">
        <v>925484</v>
      </c>
      <c r="D817" s="63" t="s">
        <v>396</v>
      </c>
      <c r="E817" s="70" t="s">
        <v>20</v>
      </c>
      <c r="F817" s="18">
        <v>24</v>
      </c>
      <c r="G817" s="18">
        <v>0</v>
      </c>
      <c r="H817" s="18">
        <v>0</v>
      </c>
      <c r="I817" s="70">
        <v>0</v>
      </c>
      <c r="J817" s="18"/>
      <c r="K817" s="18">
        <v>24</v>
      </c>
      <c r="L817" s="18">
        <v>7.77</v>
      </c>
      <c r="M817" s="18">
        <v>186.48</v>
      </c>
      <c r="N817" s="18">
        <v>0</v>
      </c>
      <c r="O817" s="18">
        <v>0</v>
      </c>
      <c r="P817" s="18">
        <v>0</v>
      </c>
      <c r="Q817" s="19">
        <f t="shared" si="9"/>
        <v>186.48</v>
      </c>
    </row>
    <row r="818" spans="1:17" ht="85.5" outlineLevel="2" x14ac:dyDescent="0.2">
      <c r="A818" s="17">
        <v>220106</v>
      </c>
      <c r="B818" s="16"/>
      <c r="C818" s="17">
        <v>923110</v>
      </c>
      <c r="D818" s="63" t="s">
        <v>295</v>
      </c>
      <c r="E818" s="70" t="s">
        <v>20</v>
      </c>
      <c r="F818" s="18">
        <v>1</v>
      </c>
      <c r="G818" s="18">
        <v>0</v>
      </c>
      <c r="H818" s="18">
        <v>0</v>
      </c>
      <c r="I818" s="70">
        <v>0</v>
      </c>
      <c r="J818" s="18"/>
      <c r="K818" s="18">
        <v>1</v>
      </c>
      <c r="L818" s="18">
        <v>20.9</v>
      </c>
      <c r="M818" s="18">
        <v>20.9</v>
      </c>
      <c r="N818" s="18">
        <v>0</v>
      </c>
      <c r="O818" s="18">
        <v>0</v>
      </c>
      <c r="P818" s="18">
        <v>0</v>
      </c>
      <c r="Q818" s="19">
        <f t="shared" si="9"/>
        <v>20.9</v>
      </c>
    </row>
    <row r="819" spans="1:17" ht="42.75" outlineLevel="2" x14ac:dyDescent="0.2">
      <c r="A819" s="17">
        <v>220107</v>
      </c>
      <c r="B819" s="16"/>
      <c r="C819" s="17">
        <v>500006</v>
      </c>
      <c r="D819" s="63" t="s">
        <v>321</v>
      </c>
      <c r="E819" s="70" t="s">
        <v>30</v>
      </c>
      <c r="F819" s="18">
        <v>45</v>
      </c>
      <c r="G819" s="18">
        <v>0</v>
      </c>
      <c r="H819" s="18">
        <v>0</v>
      </c>
      <c r="I819" s="70">
        <v>0</v>
      </c>
      <c r="J819" s="18"/>
      <c r="K819" s="18">
        <v>45</v>
      </c>
      <c r="L819" s="18">
        <v>144.04</v>
      </c>
      <c r="M819" s="18">
        <v>6481.8</v>
      </c>
      <c r="N819" s="18">
        <v>0</v>
      </c>
      <c r="O819" s="18">
        <v>0</v>
      </c>
      <c r="P819" s="18">
        <v>0</v>
      </c>
      <c r="Q819" s="19">
        <f t="shared" si="9"/>
        <v>6481.7999999999993</v>
      </c>
    </row>
    <row r="820" spans="1:17" x14ac:dyDescent="0.2">
      <c r="A820" s="16"/>
      <c r="B820" s="16"/>
      <c r="C820" s="16"/>
      <c r="D820" s="64"/>
      <c r="E820" s="71"/>
      <c r="F820" s="16"/>
      <c r="G820" s="16"/>
      <c r="H820" s="16"/>
      <c r="I820" s="71"/>
      <c r="J820" s="16"/>
      <c r="K820" s="16"/>
      <c r="L820" s="16"/>
      <c r="M820" s="16"/>
      <c r="N820" s="16"/>
      <c r="O820" s="16"/>
      <c r="P820" s="16"/>
      <c r="Q820" s="19">
        <f t="shared" si="9"/>
        <v>0</v>
      </c>
    </row>
    <row r="821" spans="1:17" x14ac:dyDescent="0.2">
      <c r="A821" s="16"/>
      <c r="B821" s="16"/>
      <c r="C821" s="16"/>
      <c r="D821" s="64"/>
      <c r="E821" s="71"/>
      <c r="F821" s="16"/>
      <c r="G821" s="16"/>
      <c r="H821" s="16"/>
      <c r="I821" s="71"/>
      <c r="J821" s="16"/>
      <c r="K821" s="16"/>
      <c r="L821" s="16"/>
      <c r="M821" s="16"/>
      <c r="N821" s="16"/>
      <c r="O821" s="16"/>
      <c r="P821" s="16"/>
      <c r="Q821" s="19">
        <f t="shared" si="9"/>
        <v>0</v>
      </c>
    </row>
    <row r="822" spans="1:17" ht="30" outlineLevel="2" x14ac:dyDescent="0.2">
      <c r="A822" s="17">
        <v>230100</v>
      </c>
      <c r="B822" s="16"/>
      <c r="C822" s="17">
        <v>925485</v>
      </c>
      <c r="D822" s="65" t="s">
        <v>41</v>
      </c>
      <c r="E822" s="71"/>
      <c r="F822" s="18" t="s">
        <v>9</v>
      </c>
      <c r="G822" s="18">
        <v>0</v>
      </c>
      <c r="H822" s="18">
        <v>0</v>
      </c>
      <c r="I822" s="70">
        <v>0</v>
      </c>
      <c r="J822" s="18"/>
      <c r="K822" s="18">
        <v>0</v>
      </c>
      <c r="L822" s="18" t="s">
        <v>9</v>
      </c>
      <c r="M822" s="18" t="s">
        <v>9</v>
      </c>
      <c r="N822" s="18">
        <v>0</v>
      </c>
      <c r="O822" s="18">
        <v>0</v>
      </c>
      <c r="P822" s="18">
        <v>0</v>
      </c>
      <c r="Q822" s="19">
        <f t="shared" si="9"/>
        <v>0</v>
      </c>
    </row>
    <row r="823" spans="1:17" ht="99.75" outlineLevel="2" x14ac:dyDescent="0.2">
      <c r="A823" s="17">
        <v>230101</v>
      </c>
      <c r="B823" s="16"/>
      <c r="C823" s="17">
        <v>925486</v>
      </c>
      <c r="D823" s="63" t="s">
        <v>397</v>
      </c>
      <c r="E823" s="70" t="s">
        <v>20</v>
      </c>
      <c r="F823" s="18">
        <v>1</v>
      </c>
      <c r="G823" s="18">
        <v>0</v>
      </c>
      <c r="H823" s="18">
        <v>0</v>
      </c>
      <c r="I823" s="70">
        <v>0</v>
      </c>
      <c r="J823" s="18"/>
      <c r="K823" s="18">
        <v>1</v>
      </c>
      <c r="L823" s="18">
        <v>3614.39</v>
      </c>
      <c r="M823" s="18">
        <v>3614.39</v>
      </c>
      <c r="N823" s="18">
        <v>0</v>
      </c>
      <c r="O823" s="18">
        <v>0</v>
      </c>
      <c r="P823" s="18">
        <v>0</v>
      </c>
      <c r="Q823" s="19">
        <f t="shared" si="9"/>
        <v>3614.39</v>
      </c>
    </row>
    <row r="824" spans="1:17" ht="114" outlineLevel="2" x14ac:dyDescent="0.2">
      <c r="A824" s="17">
        <v>230102</v>
      </c>
      <c r="B824" s="16"/>
      <c r="C824" s="17">
        <v>922559</v>
      </c>
      <c r="D824" s="63" t="s">
        <v>398</v>
      </c>
      <c r="E824" s="70" t="s">
        <v>20</v>
      </c>
      <c r="F824" s="18">
        <v>1</v>
      </c>
      <c r="G824" s="18">
        <v>0</v>
      </c>
      <c r="H824" s="18">
        <v>0</v>
      </c>
      <c r="I824" s="70">
        <v>0</v>
      </c>
      <c r="J824" s="18"/>
      <c r="K824" s="18">
        <v>1</v>
      </c>
      <c r="L824" s="18">
        <v>2194.2399999999998</v>
      </c>
      <c r="M824" s="18">
        <v>2194.2399999999998</v>
      </c>
      <c r="N824" s="18">
        <v>0</v>
      </c>
      <c r="O824" s="18">
        <v>0</v>
      </c>
      <c r="P824" s="18">
        <v>0</v>
      </c>
      <c r="Q824" s="19">
        <f t="shared" si="9"/>
        <v>2194.2399999999998</v>
      </c>
    </row>
    <row r="825" spans="1:17" ht="71.25" outlineLevel="2" x14ac:dyDescent="0.2">
      <c r="A825" s="17">
        <v>230103</v>
      </c>
      <c r="B825" s="16"/>
      <c r="C825" s="17">
        <v>925487</v>
      </c>
      <c r="D825" s="63" t="s">
        <v>399</v>
      </c>
      <c r="E825" s="70" t="s">
        <v>20</v>
      </c>
      <c r="F825" s="18">
        <v>1</v>
      </c>
      <c r="G825" s="18">
        <v>0</v>
      </c>
      <c r="H825" s="18">
        <v>0</v>
      </c>
      <c r="I825" s="70">
        <v>0</v>
      </c>
      <c r="J825" s="18"/>
      <c r="K825" s="18">
        <v>1</v>
      </c>
      <c r="L825" s="18">
        <v>1125.51</v>
      </c>
      <c r="M825" s="18">
        <v>1125.51</v>
      </c>
      <c r="N825" s="18">
        <v>0</v>
      </c>
      <c r="O825" s="18">
        <v>0</v>
      </c>
      <c r="P825" s="18">
        <v>0</v>
      </c>
      <c r="Q825" s="19">
        <f t="shared" si="9"/>
        <v>1125.51</v>
      </c>
    </row>
    <row r="826" spans="1:17" ht="28.5" outlineLevel="2" x14ac:dyDescent="0.2">
      <c r="A826" s="17">
        <v>230104</v>
      </c>
      <c r="B826" s="16"/>
      <c r="C826" s="17">
        <v>949153</v>
      </c>
      <c r="D826" s="63" t="s">
        <v>400</v>
      </c>
      <c r="E826" s="70" t="s">
        <v>10</v>
      </c>
      <c r="F826" s="18">
        <v>52.04</v>
      </c>
      <c r="G826" s="18">
        <v>0</v>
      </c>
      <c r="H826" s="18">
        <v>0</v>
      </c>
      <c r="I826" s="70">
        <v>0</v>
      </c>
      <c r="J826" s="18"/>
      <c r="K826" s="18">
        <v>52.04</v>
      </c>
      <c r="L826" s="18">
        <v>292.27999999999997</v>
      </c>
      <c r="M826" s="18">
        <v>15210.25</v>
      </c>
      <c r="N826" s="18">
        <v>0</v>
      </c>
      <c r="O826" s="18">
        <v>0</v>
      </c>
      <c r="P826" s="18">
        <v>0</v>
      </c>
      <c r="Q826" s="19">
        <f>PRODUCT(K826,L826)</f>
        <v>15210.251199999999</v>
      </c>
    </row>
    <row r="827" spans="1:17" ht="28.5" outlineLevel="2" x14ac:dyDescent="0.2">
      <c r="A827" s="17">
        <v>230105</v>
      </c>
      <c r="B827" s="16"/>
      <c r="C827" s="17">
        <v>210101</v>
      </c>
      <c r="D827" s="63" t="s">
        <v>363</v>
      </c>
      <c r="E827" s="70" t="s">
        <v>10</v>
      </c>
      <c r="F827" s="18">
        <v>910.65</v>
      </c>
      <c r="G827" s="18">
        <v>0</v>
      </c>
      <c r="H827" s="18">
        <v>0</v>
      </c>
      <c r="I827" s="70">
        <v>0</v>
      </c>
      <c r="J827" s="18"/>
      <c r="K827" s="18">
        <v>910.65</v>
      </c>
      <c r="L827" s="18">
        <v>2.19</v>
      </c>
      <c r="M827" s="18">
        <v>1994.32</v>
      </c>
      <c r="N827" s="18">
        <v>0</v>
      </c>
      <c r="O827" s="18">
        <v>0</v>
      </c>
      <c r="P827" s="18">
        <v>0</v>
      </c>
      <c r="Q827" s="19">
        <f>PRODUCT(K827,L827)</f>
        <v>1994.3235</v>
      </c>
    </row>
    <row r="828" spans="1:17" outlineLevel="2" x14ac:dyDescent="0.2">
      <c r="A828" s="17"/>
      <c r="B828" s="16"/>
      <c r="C828" s="17"/>
      <c r="D828" s="63" t="s">
        <v>780</v>
      </c>
      <c r="E828" s="70" t="s">
        <v>781</v>
      </c>
      <c r="F828" s="18"/>
      <c r="G828" s="18"/>
      <c r="H828" s="18"/>
      <c r="I828" s="70">
        <f>55*2</f>
        <v>110</v>
      </c>
      <c r="J828" s="18"/>
      <c r="K828" s="18"/>
      <c r="L828" s="18"/>
      <c r="M828" s="18"/>
      <c r="N828" s="18"/>
      <c r="O828" s="18"/>
      <c r="P828" s="18"/>
      <c r="Q828" s="19"/>
    </row>
    <row r="829" spans="1:17" x14ac:dyDescent="0.2">
      <c r="A829" s="16"/>
      <c r="B829" s="16"/>
      <c r="C829" s="16"/>
      <c r="D829" s="64"/>
      <c r="E829" s="71"/>
      <c r="F829" s="16"/>
      <c r="G829" s="16"/>
      <c r="H829" s="16"/>
      <c r="I829" s="71"/>
      <c r="J829" s="16"/>
      <c r="K829" s="16"/>
      <c r="L829" s="16"/>
      <c r="M829" s="16"/>
      <c r="N829" s="16"/>
      <c r="O829" s="16"/>
      <c r="P829" s="16"/>
      <c r="Q829" s="19">
        <f>SUM(Q10:Q827)</f>
        <v>1369003.9455000001</v>
      </c>
    </row>
  </sheetData>
  <mergeCells count="17">
    <mergeCell ref="D5:K5"/>
    <mergeCell ref="K490:K606"/>
    <mergeCell ref="K482:K487"/>
    <mergeCell ref="A1:Q4"/>
    <mergeCell ref="K327:K331"/>
    <mergeCell ref="K299:K302"/>
    <mergeCell ref="L144:M144"/>
    <mergeCell ref="L145:M145"/>
    <mergeCell ref="L146:M146"/>
    <mergeCell ref="K140:K175"/>
    <mergeCell ref="K288:K297"/>
    <mergeCell ref="K305:K308"/>
    <mergeCell ref="K204:K216"/>
    <mergeCell ref="L147:M147"/>
    <mergeCell ref="K320:K323"/>
    <mergeCell ref="K313:K316"/>
    <mergeCell ref="D120:D126"/>
  </mergeCells>
  <pageMargins left="0.78740157480314965" right="0.78740157480314965" top="0.98425196850393704" bottom="0.98425196850393704" header="0.51181102362204722" footer="0.51181102362204722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pageSetUpPr fitToPage="1"/>
  </sheetPr>
  <dimension ref="A1:W472"/>
  <sheetViews>
    <sheetView view="pageBreakPreview" topLeftCell="A426" zoomScale="55" zoomScaleNormal="100" zoomScaleSheetLayoutView="55" workbookViewId="0">
      <selection activeCell="I95" sqref="I95"/>
    </sheetView>
  </sheetViews>
  <sheetFormatPr defaultRowHeight="12.75" outlineLevelRow="2" x14ac:dyDescent="0.2"/>
  <cols>
    <col min="1" max="1" width="6.28515625" customWidth="1"/>
    <col min="2" max="2" width="3.28515625" hidden="1" customWidth="1"/>
    <col min="3" max="3" width="14.5703125" bestFit="1" customWidth="1"/>
    <col min="4" max="4" width="46.140625" style="8" customWidth="1"/>
    <col min="5" max="5" width="9.42578125" bestFit="1" customWidth="1"/>
    <col min="6" max="6" width="11.42578125" bestFit="1" customWidth="1"/>
    <col min="7" max="7" width="9.28515625" hidden="1" customWidth="1"/>
    <col min="8" max="8" width="8.42578125" hidden="1" customWidth="1"/>
    <col min="9" max="9" width="12.7109375" bestFit="1" customWidth="1"/>
    <col min="10" max="10" width="20.28515625" bestFit="1" customWidth="1"/>
    <col min="11" max="11" width="16.7109375" bestFit="1" customWidth="1"/>
    <col min="12" max="12" width="13.42578125" hidden="1" customWidth="1"/>
    <col min="13" max="13" width="11.140625" hidden="1" customWidth="1"/>
    <col min="14" max="14" width="9.5703125" hidden="1" customWidth="1"/>
    <col min="15" max="15" width="9.28515625" hidden="1" customWidth="1"/>
    <col min="16" max="16" width="23.28515625" bestFit="1" customWidth="1"/>
  </cols>
  <sheetData>
    <row r="1" spans="1:16" x14ac:dyDescent="0.2">
      <c r="A1" s="107" t="s">
        <v>402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16" x14ac:dyDescent="0.2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</row>
    <row r="3" spans="1:16" x14ac:dyDescent="0.2">
      <c r="A3" s="106" t="s">
        <v>401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x14ac:dyDescent="0.2">
      <c r="A4" s="10" t="s">
        <v>47</v>
      </c>
      <c r="B4" s="10" t="s">
        <v>0</v>
      </c>
      <c r="C4" s="10" t="s">
        <v>48</v>
      </c>
      <c r="D4" s="11" t="s">
        <v>1</v>
      </c>
      <c r="E4" s="10" t="s">
        <v>43</v>
      </c>
      <c r="F4" s="10" t="s">
        <v>44</v>
      </c>
      <c r="G4" s="10" t="s">
        <v>2</v>
      </c>
      <c r="H4" s="10" t="s">
        <v>3</v>
      </c>
      <c r="I4" s="10" t="s">
        <v>45</v>
      </c>
      <c r="J4" s="10" t="s">
        <v>42</v>
      </c>
      <c r="K4" s="10" t="s">
        <v>46</v>
      </c>
      <c r="L4" s="10" t="s">
        <v>4</v>
      </c>
      <c r="M4" s="10" t="s">
        <v>5</v>
      </c>
      <c r="N4" s="10" t="s">
        <v>6</v>
      </c>
      <c r="O4" s="10" t="s">
        <v>7</v>
      </c>
      <c r="P4" s="10" t="s">
        <v>49</v>
      </c>
    </row>
    <row r="5" spans="1:16" x14ac:dyDescent="0.2">
      <c r="A5" s="1"/>
      <c r="B5" s="1"/>
      <c r="C5" s="1"/>
      <c r="D5" s="9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1"/>
      <c r="B6" s="1"/>
      <c r="C6" s="1"/>
      <c r="D6" s="9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outlineLevel="2" x14ac:dyDescent="0.2">
      <c r="A7" s="2">
        <v>10100</v>
      </c>
      <c r="B7" s="1"/>
      <c r="C7" s="2">
        <v>10000</v>
      </c>
      <c r="D7" s="7" t="s">
        <v>8</v>
      </c>
      <c r="E7" s="1"/>
      <c r="F7" s="4" t="s">
        <v>9</v>
      </c>
      <c r="G7" s="4">
        <v>0</v>
      </c>
      <c r="H7" s="4">
        <v>0</v>
      </c>
      <c r="I7" s="4">
        <v>0</v>
      </c>
      <c r="J7" s="4">
        <v>0</v>
      </c>
      <c r="K7" s="4" t="s">
        <v>9</v>
      </c>
      <c r="L7" s="4" t="s">
        <v>9</v>
      </c>
      <c r="M7" s="4">
        <v>0</v>
      </c>
      <c r="N7" s="4">
        <v>0</v>
      </c>
      <c r="O7" s="4">
        <v>0</v>
      </c>
      <c r="P7" s="1"/>
    </row>
    <row r="8" spans="1:16" outlineLevel="2" x14ac:dyDescent="0.2">
      <c r="A8" s="2">
        <v>10101</v>
      </c>
      <c r="B8" s="1"/>
      <c r="C8" s="2">
        <v>10455</v>
      </c>
      <c r="D8" s="3" t="s">
        <v>50</v>
      </c>
      <c r="E8" s="5" t="s">
        <v>10</v>
      </c>
      <c r="F8" s="4">
        <v>16</v>
      </c>
      <c r="G8" s="4">
        <v>0</v>
      </c>
      <c r="H8" s="4">
        <v>16</v>
      </c>
      <c r="I8" s="4">
        <v>16</v>
      </c>
      <c r="J8" s="4">
        <v>0</v>
      </c>
      <c r="K8" s="4">
        <v>325.57</v>
      </c>
      <c r="L8" s="4">
        <v>5209.12</v>
      </c>
      <c r="M8" s="4">
        <v>0</v>
      </c>
      <c r="N8" s="4">
        <v>5209.12</v>
      </c>
      <c r="O8" s="4">
        <v>5209.12</v>
      </c>
      <c r="P8" s="6">
        <f>PRODUCT(J8,K8)</f>
        <v>0</v>
      </c>
    </row>
    <row r="9" spans="1:16" ht="27.75" outlineLevel="2" x14ac:dyDescent="0.2">
      <c r="A9" s="2">
        <v>10102</v>
      </c>
      <c r="B9" s="1"/>
      <c r="C9" s="2">
        <v>920137</v>
      </c>
      <c r="D9" s="3" t="s">
        <v>51</v>
      </c>
      <c r="E9" s="5" t="s">
        <v>10</v>
      </c>
      <c r="F9" s="4">
        <v>20193.72</v>
      </c>
      <c r="G9" s="4">
        <v>0</v>
      </c>
      <c r="H9" s="4">
        <v>20193.72</v>
      </c>
      <c r="I9" s="4">
        <v>20193.72</v>
      </c>
      <c r="J9" s="4">
        <v>0</v>
      </c>
      <c r="K9" s="4">
        <v>0.55000000000000004</v>
      </c>
      <c r="L9" s="4">
        <v>11106.54</v>
      </c>
      <c r="M9" s="4">
        <v>0</v>
      </c>
      <c r="N9" s="4">
        <v>11106.54</v>
      </c>
      <c r="O9" s="4">
        <v>11106.54</v>
      </c>
      <c r="P9" s="6">
        <f t="shared" ref="P9:P72" si="0">PRODUCT(J9,K9)</f>
        <v>0</v>
      </c>
    </row>
    <row r="10" spans="1:16" ht="27.75" outlineLevel="2" x14ac:dyDescent="0.2">
      <c r="A10" s="2">
        <v>10103</v>
      </c>
      <c r="B10" s="1"/>
      <c r="C10" s="2">
        <v>925285</v>
      </c>
      <c r="D10" s="3" t="s">
        <v>52</v>
      </c>
      <c r="E10" s="5" t="s">
        <v>10</v>
      </c>
      <c r="F10" s="4">
        <v>6</v>
      </c>
      <c r="G10" s="4">
        <v>0</v>
      </c>
      <c r="H10" s="4">
        <v>6</v>
      </c>
      <c r="I10" s="4">
        <v>6</v>
      </c>
      <c r="J10" s="4">
        <v>0</v>
      </c>
      <c r="K10" s="4">
        <v>652.03</v>
      </c>
      <c r="L10" s="4">
        <v>3912.18</v>
      </c>
      <c r="M10" s="4">
        <v>0</v>
      </c>
      <c r="N10" s="4">
        <v>3912.18</v>
      </c>
      <c r="O10" s="4">
        <v>3912.18</v>
      </c>
      <c r="P10" s="6">
        <f t="shared" si="0"/>
        <v>0</v>
      </c>
    </row>
    <row r="11" spans="1:16" ht="27.75" outlineLevel="2" x14ac:dyDescent="0.2">
      <c r="A11" s="2">
        <v>10104</v>
      </c>
      <c r="B11" s="1"/>
      <c r="C11" s="2">
        <v>925286</v>
      </c>
      <c r="D11" s="3" t="s">
        <v>53</v>
      </c>
      <c r="E11" s="5" t="s">
        <v>10</v>
      </c>
      <c r="F11" s="4">
        <v>20</v>
      </c>
      <c r="G11" s="4">
        <v>0</v>
      </c>
      <c r="H11" s="4">
        <v>20</v>
      </c>
      <c r="I11" s="4">
        <v>20</v>
      </c>
      <c r="J11" s="4">
        <v>0</v>
      </c>
      <c r="K11" s="4">
        <v>482.92</v>
      </c>
      <c r="L11" s="4">
        <v>9658.4</v>
      </c>
      <c r="M11" s="4">
        <v>0</v>
      </c>
      <c r="N11" s="4">
        <v>9658.4</v>
      </c>
      <c r="O11" s="4">
        <v>9658.4</v>
      </c>
      <c r="P11" s="6">
        <f t="shared" si="0"/>
        <v>0</v>
      </c>
    </row>
    <row r="12" spans="1:16" ht="27.75" outlineLevel="2" x14ac:dyDescent="0.2">
      <c r="A12" s="2">
        <v>10105</v>
      </c>
      <c r="B12" s="1"/>
      <c r="C12" s="2">
        <v>925287</v>
      </c>
      <c r="D12" s="3" t="s">
        <v>54</v>
      </c>
      <c r="E12" s="5" t="s">
        <v>10</v>
      </c>
      <c r="F12" s="4">
        <v>20</v>
      </c>
      <c r="G12" s="4">
        <v>0</v>
      </c>
      <c r="H12" s="4">
        <v>20</v>
      </c>
      <c r="I12" s="4">
        <v>20</v>
      </c>
      <c r="J12" s="4">
        <v>0</v>
      </c>
      <c r="K12" s="4">
        <v>364.12</v>
      </c>
      <c r="L12" s="4">
        <v>7282.4</v>
      </c>
      <c r="M12" s="4">
        <v>0</v>
      </c>
      <c r="N12" s="4">
        <v>7282.4</v>
      </c>
      <c r="O12" s="4">
        <v>7282.4</v>
      </c>
      <c r="P12" s="6">
        <f t="shared" si="0"/>
        <v>0</v>
      </c>
    </row>
    <row r="13" spans="1:16" ht="27.75" outlineLevel="2" x14ac:dyDescent="0.2">
      <c r="A13" s="2">
        <v>10106</v>
      </c>
      <c r="B13" s="1"/>
      <c r="C13" s="2">
        <v>925288</v>
      </c>
      <c r="D13" s="3" t="s">
        <v>55</v>
      </c>
      <c r="E13" s="5" t="s">
        <v>10</v>
      </c>
      <c r="F13" s="4">
        <v>10</v>
      </c>
      <c r="G13" s="4">
        <v>0</v>
      </c>
      <c r="H13" s="4">
        <v>10</v>
      </c>
      <c r="I13" s="4">
        <v>10</v>
      </c>
      <c r="J13" s="4">
        <v>0</v>
      </c>
      <c r="K13" s="4">
        <v>693.32</v>
      </c>
      <c r="L13" s="4">
        <v>6933.2</v>
      </c>
      <c r="M13" s="4">
        <v>0</v>
      </c>
      <c r="N13" s="4">
        <v>6933.2</v>
      </c>
      <c r="O13" s="4">
        <v>6933.2</v>
      </c>
      <c r="P13" s="6">
        <f t="shared" si="0"/>
        <v>0</v>
      </c>
    </row>
    <row r="14" spans="1:16" ht="18.75" outlineLevel="2" x14ac:dyDescent="0.2">
      <c r="A14" s="2">
        <v>10107</v>
      </c>
      <c r="B14" s="1"/>
      <c r="C14" s="2">
        <v>949478</v>
      </c>
      <c r="D14" s="3" t="s">
        <v>56</v>
      </c>
      <c r="E14" s="5" t="s">
        <v>11</v>
      </c>
      <c r="F14" s="4">
        <v>2019.37</v>
      </c>
      <c r="G14" s="4">
        <v>0</v>
      </c>
      <c r="H14" s="4">
        <v>2019.37</v>
      </c>
      <c r="I14" s="4">
        <v>2019.37</v>
      </c>
      <c r="J14" s="4">
        <v>0</v>
      </c>
      <c r="K14" s="4">
        <v>18.54</v>
      </c>
      <c r="L14" s="4">
        <v>37439.11</v>
      </c>
      <c r="M14" s="4">
        <v>0</v>
      </c>
      <c r="N14" s="4">
        <v>37439.11</v>
      </c>
      <c r="O14" s="4">
        <v>37439.11</v>
      </c>
      <c r="P14" s="6">
        <f t="shared" si="0"/>
        <v>0</v>
      </c>
    </row>
    <row r="15" spans="1:16" ht="18.75" outlineLevel="2" x14ac:dyDescent="0.2">
      <c r="A15" s="2">
        <v>10108</v>
      </c>
      <c r="B15" s="1"/>
      <c r="C15" s="2">
        <v>949479</v>
      </c>
      <c r="D15" s="3" t="s">
        <v>57</v>
      </c>
      <c r="E15" s="5" t="s">
        <v>12</v>
      </c>
      <c r="F15" s="4">
        <v>16000</v>
      </c>
      <c r="G15" s="4">
        <v>0</v>
      </c>
      <c r="H15" s="4">
        <v>16000</v>
      </c>
      <c r="I15" s="4">
        <v>16000</v>
      </c>
      <c r="J15" s="4">
        <v>0</v>
      </c>
      <c r="K15" s="4">
        <v>1.2</v>
      </c>
      <c r="L15" s="4">
        <v>19200</v>
      </c>
      <c r="M15" s="4">
        <v>0</v>
      </c>
      <c r="N15" s="4">
        <v>19200</v>
      </c>
      <c r="O15" s="4">
        <v>19200</v>
      </c>
      <c r="P15" s="6">
        <f t="shared" si="0"/>
        <v>0</v>
      </c>
    </row>
    <row r="16" spans="1:16" ht="27.75" outlineLevel="2" x14ac:dyDescent="0.2">
      <c r="A16" s="2">
        <v>10109</v>
      </c>
      <c r="B16" s="1"/>
      <c r="C16" s="2">
        <v>925289</v>
      </c>
      <c r="D16" s="3" t="s">
        <v>58</v>
      </c>
      <c r="E16" s="5" t="s">
        <v>10</v>
      </c>
      <c r="F16" s="4">
        <v>126</v>
      </c>
      <c r="G16" s="4">
        <v>0</v>
      </c>
      <c r="H16" s="4">
        <v>26</v>
      </c>
      <c r="I16" s="4">
        <v>26</v>
      </c>
      <c r="J16" s="4">
        <v>100</v>
      </c>
      <c r="K16" s="4">
        <v>7.93</v>
      </c>
      <c r="L16" s="4">
        <v>999.18</v>
      </c>
      <c r="M16" s="4">
        <v>0</v>
      </c>
      <c r="N16" s="4">
        <v>206.18</v>
      </c>
      <c r="O16" s="4">
        <v>206.18</v>
      </c>
      <c r="P16" s="6">
        <f t="shared" si="0"/>
        <v>793</v>
      </c>
    </row>
    <row r="17" spans="1:16" ht="27.75" outlineLevel="2" x14ac:dyDescent="0.2">
      <c r="A17" s="2">
        <v>10110</v>
      </c>
      <c r="B17" s="1"/>
      <c r="C17" s="2">
        <v>925290</v>
      </c>
      <c r="D17" s="3" t="s">
        <v>59</v>
      </c>
      <c r="E17" s="5" t="s">
        <v>10</v>
      </c>
      <c r="F17" s="4">
        <v>3228.08</v>
      </c>
      <c r="G17" s="4">
        <v>0</v>
      </c>
      <c r="H17" s="4">
        <v>3228.08</v>
      </c>
      <c r="I17" s="4">
        <v>3228.08</v>
      </c>
      <c r="J17" s="4">
        <v>0</v>
      </c>
      <c r="K17" s="4">
        <v>4.6900000000000004</v>
      </c>
      <c r="L17" s="4">
        <v>15139.69</v>
      </c>
      <c r="M17" s="4">
        <v>0</v>
      </c>
      <c r="N17" s="4">
        <v>15139.69</v>
      </c>
      <c r="O17" s="4">
        <v>15139.69</v>
      </c>
      <c r="P17" s="6">
        <f t="shared" si="0"/>
        <v>0</v>
      </c>
    </row>
    <row r="18" spans="1:16" x14ac:dyDescent="0.2">
      <c r="A18" s="1"/>
      <c r="B18" s="1"/>
      <c r="C18" s="1"/>
      <c r="D18" s="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6">
        <f>PRODUCT(J18,K18)</f>
        <v>0</v>
      </c>
    </row>
    <row r="19" spans="1:16" x14ac:dyDescent="0.2">
      <c r="A19" s="1"/>
      <c r="B19" s="1"/>
      <c r="C19" s="1"/>
      <c r="D19" s="9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6">
        <f t="shared" si="0"/>
        <v>0</v>
      </c>
    </row>
    <row r="20" spans="1:16" outlineLevel="2" x14ac:dyDescent="0.2">
      <c r="A20" s="2">
        <v>20100</v>
      </c>
      <c r="B20" s="1"/>
      <c r="C20" s="2">
        <v>200071</v>
      </c>
      <c r="D20" s="7" t="s">
        <v>13</v>
      </c>
      <c r="E20" s="1"/>
      <c r="F20" s="4" t="s">
        <v>9</v>
      </c>
      <c r="G20" s="4">
        <v>0</v>
      </c>
      <c r="H20" s="4">
        <v>0</v>
      </c>
      <c r="I20" s="4">
        <v>0</v>
      </c>
      <c r="J20" s="4">
        <v>0</v>
      </c>
      <c r="K20" s="4" t="s">
        <v>9</v>
      </c>
      <c r="L20" s="4" t="s">
        <v>9</v>
      </c>
      <c r="M20" s="4">
        <v>0</v>
      </c>
      <c r="N20" s="4">
        <v>0</v>
      </c>
      <c r="O20" s="4">
        <v>0</v>
      </c>
      <c r="P20" s="6">
        <f t="shared" si="0"/>
        <v>0</v>
      </c>
    </row>
    <row r="21" spans="1:16" outlineLevel="2" x14ac:dyDescent="0.2">
      <c r="A21" s="2">
        <v>20101</v>
      </c>
      <c r="B21" s="1"/>
      <c r="C21" s="2">
        <v>925291</v>
      </c>
      <c r="D21" s="3" t="s">
        <v>60</v>
      </c>
      <c r="E21" s="5" t="s">
        <v>11</v>
      </c>
      <c r="F21" s="4">
        <v>5119.8599999999997</v>
      </c>
      <c r="G21" s="4">
        <v>0</v>
      </c>
      <c r="H21" s="4">
        <v>5119.8599999999997</v>
      </c>
      <c r="I21" s="4">
        <v>5119.8599999999997</v>
      </c>
      <c r="J21" s="4">
        <v>0</v>
      </c>
      <c r="K21" s="4">
        <v>5.5</v>
      </c>
      <c r="L21" s="4">
        <v>28159.23</v>
      </c>
      <c r="M21" s="4">
        <v>0</v>
      </c>
      <c r="N21" s="4">
        <v>28159.23</v>
      </c>
      <c r="O21" s="4">
        <v>28159.23</v>
      </c>
      <c r="P21" s="6">
        <f t="shared" si="0"/>
        <v>0</v>
      </c>
    </row>
    <row r="22" spans="1:16" ht="18.75" outlineLevel="2" x14ac:dyDescent="0.2">
      <c r="A22" s="2">
        <v>20102</v>
      </c>
      <c r="B22" s="1"/>
      <c r="C22" s="2">
        <v>925292</v>
      </c>
      <c r="D22" s="3" t="s">
        <v>61</v>
      </c>
      <c r="E22" s="5" t="s">
        <v>11</v>
      </c>
      <c r="F22" s="4">
        <v>715.18</v>
      </c>
      <c r="G22" s="4">
        <v>0</v>
      </c>
      <c r="H22" s="4">
        <v>715.18</v>
      </c>
      <c r="I22" s="4">
        <v>715.18</v>
      </c>
      <c r="J22" s="4">
        <v>0</v>
      </c>
      <c r="K22" s="4">
        <v>51.94</v>
      </c>
      <c r="L22" s="4">
        <v>37146.44</v>
      </c>
      <c r="M22" s="4">
        <v>0</v>
      </c>
      <c r="N22" s="4">
        <v>37146.44</v>
      </c>
      <c r="O22" s="4">
        <v>37146.44</v>
      </c>
      <c r="P22" s="6">
        <f t="shared" si="0"/>
        <v>0</v>
      </c>
    </row>
    <row r="23" spans="1:16" ht="27.75" outlineLevel="2" x14ac:dyDescent="0.2">
      <c r="A23" s="2">
        <v>20103</v>
      </c>
      <c r="B23" s="1"/>
      <c r="C23" s="2">
        <v>960118</v>
      </c>
      <c r="D23" s="3" t="s">
        <v>62</v>
      </c>
      <c r="E23" s="5" t="s">
        <v>11</v>
      </c>
      <c r="F23" s="4">
        <v>7371</v>
      </c>
      <c r="G23" s="4">
        <v>0</v>
      </c>
      <c r="H23" s="4">
        <v>7371</v>
      </c>
      <c r="I23" s="4">
        <v>7371</v>
      </c>
      <c r="J23" s="4">
        <v>0</v>
      </c>
      <c r="K23" s="4">
        <v>5.54</v>
      </c>
      <c r="L23" s="4">
        <v>40835.339999999997</v>
      </c>
      <c r="M23" s="4">
        <v>0</v>
      </c>
      <c r="N23" s="4">
        <v>40835.339999999997</v>
      </c>
      <c r="O23" s="4">
        <v>40835.339999999997</v>
      </c>
      <c r="P23" s="6">
        <f t="shared" si="0"/>
        <v>0</v>
      </c>
    </row>
    <row r="24" spans="1:16" outlineLevel="2" x14ac:dyDescent="0.2">
      <c r="A24" s="2">
        <v>20104</v>
      </c>
      <c r="B24" s="1"/>
      <c r="C24" s="2">
        <v>921119</v>
      </c>
      <c r="D24" s="3" t="s">
        <v>63</v>
      </c>
      <c r="E24" s="5" t="s">
        <v>11</v>
      </c>
      <c r="F24" s="4">
        <v>531.19000000000005</v>
      </c>
      <c r="G24" s="4">
        <v>0</v>
      </c>
      <c r="H24" s="4">
        <v>531.19000000000005</v>
      </c>
      <c r="I24" s="4">
        <v>531.19000000000005</v>
      </c>
      <c r="J24" s="4">
        <v>0</v>
      </c>
      <c r="K24" s="4">
        <v>54.83</v>
      </c>
      <c r="L24" s="4">
        <v>29125.14</v>
      </c>
      <c r="M24" s="4">
        <v>0</v>
      </c>
      <c r="N24" s="4">
        <v>29125.14</v>
      </c>
      <c r="O24" s="4">
        <v>29125.14</v>
      </c>
      <c r="P24" s="6">
        <f t="shared" si="0"/>
        <v>0</v>
      </c>
    </row>
    <row r="25" spans="1:16" x14ac:dyDescent="0.2">
      <c r="A25" s="1"/>
      <c r="B25" s="1"/>
      <c r="C25" s="1"/>
      <c r="D25" s="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6">
        <f t="shared" si="0"/>
        <v>0</v>
      </c>
    </row>
    <row r="26" spans="1:16" x14ac:dyDescent="0.2">
      <c r="A26" s="1"/>
      <c r="B26" s="1"/>
      <c r="C26" s="1"/>
      <c r="D26" s="9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6">
        <f t="shared" si="0"/>
        <v>0</v>
      </c>
    </row>
    <row r="27" spans="1:16" outlineLevel="2" x14ac:dyDescent="0.2">
      <c r="A27" s="2">
        <v>30100</v>
      </c>
      <c r="B27" s="1"/>
      <c r="C27" s="2">
        <v>645158</v>
      </c>
      <c r="D27" s="7" t="s">
        <v>14</v>
      </c>
      <c r="E27" s="1"/>
      <c r="F27" s="4" t="s">
        <v>9</v>
      </c>
      <c r="G27" s="4">
        <v>0</v>
      </c>
      <c r="H27" s="4">
        <v>0</v>
      </c>
      <c r="I27" s="4">
        <v>0</v>
      </c>
      <c r="J27" s="4">
        <v>0</v>
      </c>
      <c r="K27" s="4" t="s">
        <v>9</v>
      </c>
      <c r="L27" s="4" t="s">
        <v>9</v>
      </c>
      <c r="M27" s="4">
        <v>0</v>
      </c>
      <c r="N27" s="4">
        <v>0</v>
      </c>
      <c r="O27" s="4">
        <v>0</v>
      </c>
      <c r="P27" s="6">
        <f t="shared" si="0"/>
        <v>0</v>
      </c>
    </row>
    <row r="28" spans="1:16" ht="27.75" outlineLevel="2" x14ac:dyDescent="0.2">
      <c r="A28" s="2">
        <v>30101</v>
      </c>
      <c r="B28" s="1"/>
      <c r="C28" s="2">
        <v>925293</v>
      </c>
      <c r="D28" s="3" t="s">
        <v>64</v>
      </c>
      <c r="E28" s="5" t="s">
        <v>15</v>
      </c>
      <c r="F28" s="4">
        <v>2414.6999999999998</v>
      </c>
      <c r="G28" s="4">
        <v>0</v>
      </c>
      <c r="H28" s="4">
        <v>2414.6999999999998</v>
      </c>
      <c r="I28" s="4">
        <v>2414.6999999999998</v>
      </c>
      <c r="J28" s="4">
        <v>0</v>
      </c>
      <c r="K28" s="4">
        <v>79.790000000000006</v>
      </c>
      <c r="L28" s="4">
        <v>192668.91</v>
      </c>
      <c r="M28" s="4">
        <v>0</v>
      </c>
      <c r="N28" s="4">
        <v>192668.91</v>
      </c>
      <c r="O28" s="4">
        <v>192668.91</v>
      </c>
      <c r="P28" s="6">
        <f t="shared" si="0"/>
        <v>0</v>
      </c>
    </row>
    <row r="29" spans="1:16" ht="18.75" outlineLevel="2" x14ac:dyDescent="0.2">
      <c r="A29" s="2">
        <v>30102</v>
      </c>
      <c r="B29" s="1"/>
      <c r="C29" s="2">
        <v>925294</v>
      </c>
      <c r="D29" s="3" t="s">
        <v>65</v>
      </c>
      <c r="E29" s="5" t="s">
        <v>11</v>
      </c>
      <c r="F29" s="4">
        <v>18.010000000000002</v>
      </c>
      <c r="G29" s="4">
        <v>0</v>
      </c>
      <c r="H29" s="4">
        <v>18.010000000000002</v>
      </c>
      <c r="I29" s="4">
        <v>18.010000000000002</v>
      </c>
      <c r="J29" s="4">
        <v>0</v>
      </c>
      <c r="K29" s="4">
        <v>79.260000000000005</v>
      </c>
      <c r="L29" s="4">
        <v>1427.47</v>
      </c>
      <c r="M29" s="4">
        <v>0</v>
      </c>
      <c r="N29" s="4">
        <v>1427.47</v>
      </c>
      <c r="O29" s="4">
        <v>1427.47</v>
      </c>
      <c r="P29" s="6">
        <f t="shared" si="0"/>
        <v>0</v>
      </c>
    </row>
    <row r="30" spans="1:16" ht="27.75" outlineLevel="2" x14ac:dyDescent="0.2">
      <c r="A30" s="2">
        <v>30103</v>
      </c>
      <c r="B30" s="1"/>
      <c r="C30" s="2">
        <v>925295</v>
      </c>
      <c r="D30" s="3" t="s">
        <v>66</v>
      </c>
      <c r="E30" s="5" t="s">
        <v>10</v>
      </c>
      <c r="F30" s="4">
        <v>351.68</v>
      </c>
      <c r="G30" s="4">
        <v>0</v>
      </c>
      <c r="H30" s="4">
        <v>351.68</v>
      </c>
      <c r="I30" s="4">
        <v>351.68</v>
      </c>
      <c r="J30" s="4">
        <v>0</v>
      </c>
      <c r="K30" s="4">
        <v>10.39</v>
      </c>
      <c r="L30" s="4">
        <v>3653.95</v>
      </c>
      <c r="M30" s="4">
        <v>0</v>
      </c>
      <c r="N30" s="4">
        <v>3653.95</v>
      </c>
      <c r="O30" s="4">
        <v>3653.95</v>
      </c>
      <c r="P30" s="6">
        <f t="shared" si="0"/>
        <v>0</v>
      </c>
    </row>
    <row r="31" spans="1:16" ht="18.75" outlineLevel="2" x14ac:dyDescent="0.2">
      <c r="A31" s="2">
        <v>30104</v>
      </c>
      <c r="B31" s="1"/>
      <c r="C31" s="2">
        <v>925296</v>
      </c>
      <c r="D31" s="3" t="s">
        <v>67</v>
      </c>
      <c r="E31" s="5" t="s">
        <v>10</v>
      </c>
      <c r="F31" s="4">
        <v>1440.23</v>
      </c>
      <c r="G31" s="4">
        <v>0</v>
      </c>
      <c r="H31" s="4">
        <v>1440.23</v>
      </c>
      <c r="I31" s="4">
        <v>1440.23</v>
      </c>
      <c r="J31" s="4">
        <v>0</v>
      </c>
      <c r="K31" s="4">
        <v>30.57</v>
      </c>
      <c r="L31" s="4">
        <v>44027.83</v>
      </c>
      <c r="M31" s="4">
        <v>0</v>
      </c>
      <c r="N31" s="4">
        <v>44027.83</v>
      </c>
      <c r="O31" s="4">
        <v>44027.83</v>
      </c>
      <c r="P31" s="6">
        <f t="shared" si="0"/>
        <v>0</v>
      </c>
    </row>
    <row r="32" spans="1:16" ht="27.75" outlineLevel="2" x14ac:dyDescent="0.2">
      <c r="A32" s="2">
        <v>30105</v>
      </c>
      <c r="B32" s="1"/>
      <c r="C32" s="2">
        <v>921931</v>
      </c>
      <c r="D32" s="3" t="s">
        <v>68</v>
      </c>
      <c r="E32" s="5" t="s">
        <v>16</v>
      </c>
      <c r="F32" s="4">
        <v>560</v>
      </c>
      <c r="G32" s="4">
        <v>0</v>
      </c>
      <c r="H32" s="4">
        <v>560</v>
      </c>
      <c r="I32" s="4">
        <v>560</v>
      </c>
      <c r="J32" s="4">
        <v>0</v>
      </c>
      <c r="K32" s="4">
        <v>10.57</v>
      </c>
      <c r="L32" s="4">
        <v>5919.2</v>
      </c>
      <c r="M32" s="4">
        <v>0</v>
      </c>
      <c r="N32" s="4">
        <v>5919.2</v>
      </c>
      <c r="O32" s="4">
        <v>5919.2</v>
      </c>
      <c r="P32" s="6">
        <f t="shared" si="0"/>
        <v>0</v>
      </c>
    </row>
    <row r="33" spans="1:23" ht="18.75" outlineLevel="2" x14ac:dyDescent="0.2">
      <c r="A33" s="2">
        <v>30106</v>
      </c>
      <c r="B33" s="1"/>
      <c r="C33" s="2">
        <v>921932</v>
      </c>
      <c r="D33" s="3" t="s">
        <v>69</v>
      </c>
      <c r="E33" s="5" t="s">
        <v>16</v>
      </c>
      <c r="F33" s="4">
        <v>3495.31</v>
      </c>
      <c r="G33" s="4">
        <v>0</v>
      </c>
      <c r="H33" s="4">
        <v>3495.31</v>
      </c>
      <c r="I33" s="4">
        <v>3495.31</v>
      </c>
      <c r="J33" s="4">
        <v>0</v>
      </c>
      <c r="K33" s="4">
        <v>12.01</v>
      </c>
      <c r="L33" s="4">
        <v>41978.67</v>
      </c>
      <c r="M33" s="4">
        <v>0</v>
      </c>
      <c r="N33" s="4">
        <v>41978.67</v>
      </c>
      <c r="O33" s="4">
        <v>41978.67</v>
      </c>
      <c r="P33" s="6">
        <f t="shared" si="0"/>
        <v>0</v>
      </c>
    </row>
    <row r="34" spans="1:23" ht="18.75" outlineLevel="2" x14ac:dyDescent="0.2">
      <c r="A34" s="2">
        <v>30107</v>
      </c>
      <c r="B34" s="1"/>
      <c r="C34" s="2">
        <v>948721</v>
      </c>
      <c r="D34" s="3" t="s">
        <v>70</v>
      </c>
      <c r="E34" s="5" t="s">
        <v>11</v>
      </c>
      <c r="F34" s="4">
        <v>171.91</v>
      </c>
      <c r="G34" s="4">
        <v>0</v>
      </c>
      <c r="H34" s="4">
        <v>171.91</v>
      </c>
      <c r="I34" s="4">
        <v>171.91</v>
      </c>
      <c r="J34" s="4">
        <v>0</v>
      </c>
      <c r="K34" s="4">
        <v>90.89</v>
      </c>
      <c r="L34" s="4">
        <v>15624.89</v>
      </c>
      <c r="M34" s="4">
        <v>0</v>
      </c>
      <c r="N34" s="4">
        <v>15624.89</v>
      </c>
      <c r="O34" s="4">
        <v>15624.89</v>
      </c>
      <c r="P34" s="6">
        <f t="shared" si="0"/>
        <v>0</v>
      </c>
    </row>
    <row r="35" spans="1:23" ht="27.75" outlineLevel="2" x14ac:dyDescent="0.2">
      <c r="A35" s="2">
        <v>30108</v>
      </c>
      <c r="B35" s="1"/>
      <c r="C35" s="2">
        <v>921196</v>
      </c>
      <c r="D35" s="3" t="s">
        <v>71</v>
      </c>
      <c r="E35" s="5" t="s">
        <v>11</v>
      </c>
      <c r="F35" s="4">
        <v>171.91</v>
      </c>
      <c r="G35" s="4">
        <v>0</v>
      </c>
      <c r="H35" s="4">
        <v>171.91</v>
      </c>
      <c r="I35" s="4">
        <v>171.91</v>
      </c>
      <c r="J35" s="4">
        <v>0</v>
      </c>
      <c r="K35" s="4">
        <v>302.95999999999998</v>
      </c>
      <c r="L35" s="4">
        <v>52081.85</v>
      </c>
      <c r="M35" s="4">
        <v>0</v>
      </c>
      <c r="N35" s="4">
        <v>52081.85</v>
      </c>
      <c r="O35" s="4">
        <v>52081.85</v>
      </c>
      <c r="P35" s="6">
        <f t="shared" si="0"/>
        <v>0</v>
      </c>
    </row>
    <row r="36" spans="1:23" ht="27.75" outlineLevel="2" x14ac:dyDescent="0.2">
      <c r="A36" s="2">
        <v>30109</v>
      </c>
      <c r="B36" s="1"/>
      <c r="C36" s="2">
        <v>923371</v>
      </c>
      <c r="D36" s="3" t="s">
        <v>72</v>
      </c>
      <c r="E36" s="5" t="s">
        <v>16</v>
      </c>
      <c r="F36" s="4">
        <v>3420.2</v>
      </c>
      <c r="G36" s="4">
        <v>0</v>
      </c>
      <c r="H36" s="4">
        <v>3420.2</v>
      </c>
      <c r="I36" s="4">
        <v>3420.2</v>
      </c>
      <c r="J36" s="4">
        <v>0</v>
      </c>
      <c r="K36" s="4">
        <v>8.5</v>
      </c>
      <c r="L36" s="4">
        <v>29071.7</v>
      </c>
      <c r="M36" s="4">
        <v>0</v>
      </c>
      <c r="N36" s="4">
        <v>29071.7</v>
      </c>
      <c r="O36" s="4">
        <v>29071.7</v>
      </c>
      <c r="P36" s="6">
        <f t="shared" si="0"/>
        <v>0</v>
      </c>
      <c r="W36" s="8"/>
    </row>
    <row r="37" spans="1:23" ht="18.75" outlineLevel="2" x14ac:dyDescent="0.2">
      <c r="A37" s="2">
        <v>30110</v>
      </c>
      <c r="B37" s="1"/>
      <c r="C37" s="2">
        <v>920386</v>
      </c>
      <c r="D37" s="3" t="s">
        <v>73</v>
      </c>
      <c r="E37" s="5" t="s">
        <v>16</v>
      </c>
      <c r="F37" s="4" t="s">
        <v>9</v>
      </c>
      <c r="G37" s="4">
        <v>0</v>
      </c>
      <c r="H37" s="4">
        <v>0</v>
      </c>
      <c r="I37" s="4">
        <v>0</v>
      </c>
      <c r="J37" s="4">
        <v>0</v>
      </c>
      <c r="K37" s="4">
        <v>7.2</v>
      </c>
      <c r="L37" s="4" t="s">
        <v>9</v>
      </c>
      <c r="M37" s="4">
        <v>0</v>
      </c>
      <c r="N37" s="4">
        <v>0</v>
      </c>
      <c r="O37" s="4">
        <v>0</v>
      </c>
      <c r="P37" s="6">
        <f t="shared" si="0"/>
        <v>0</v>
      </c>
    </row>
    <row r="38" spans="1:23" ht="18.75" outlineLevel="2" x14ac:dyDescent="0.2">
      <c r="A38" s="2">
        <v>30111</v>
      </c>
      <c r="B38" s="1"/>
      <c r="C38" s="2">
        <v>922338</v>
      </c>
      <c r="D38" s="3" t="s">
        <v>74</v>
      </c>
      <c r="E38" s="5" t="s">
        <v>10</v>
      </c>
      <c r="F38" s="4">
        <v>760.28</v>
      </c>
      <c r="G38" s="4">
        <v>0</v>
      </c>
      <c r="H38" s="4">
        <v>760.28</v>
      </c>
      <c r="I38" s="4">
        <v>760.28</v>
      </c>
      <c r="J38" s="4">
        <v>0</v>
      </c>
      <c r="K38" s="4">
        <v>8.33</v>
      </c>
      <c r="L38" s="4">
        <v>6333.13</v>
      </c>
      <c r="M38" s="4">
        <v>0</v>
      </c>
      <c r="N38" s="4">
        <v>6333.13</v>
      </c>
      <c r="O38" s="4">
        <v>6333.13</v>
      </c>
      <c r="P38" s="6">
        <f t="shared" si="0"/>
        <v>0</v>
      </c>
    </row>
    <row r="39" spans="1:23" x14ac:dyDescent="0.2">
      <c r="A39" s="1"/>
      <c r="B39" s="1"/>
      <c r="C39" s="1"/>
      <c r="D39" s="9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6">
        <f t="shared" si="0"/>
        <v>0</v>
      </c>
    </row>
    <row r="40" spans="1:23" x14ac:dyDescent="0.2">
      <c r="A40" s="1"/>
      <c r="B40" s="1"/>
      <c r="C40" s="1"/>
      <c r="D40" s="9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6">
        <f t="shared" si="0"/>
        <v>0</v>
      </c>
    </row>
    <row r="41" spans="1:23" outlineLevel="2" x14ac:dyDescent="0.2">
      <c r="A41" s="2">
        <v>40100</v>
      </c>
      <c r="B41" s="1"/>
      <c r="C41" s="2">
        <v>951300</v>
      </c>
      <c r="D41" s="7" t="s">
        <v>17</v>
      </c>
      <c r="E41" s="1"/>
      <c r="F41" s="4" t="s">
        <v>9</v>
      </c>
      <c r="G41" s="4">
        <v>0</v>
      </c>
      <c r="H41" s="4">
        <v>0</v>
      </c>
      <c r="I41" s="4">
        <v>0</v>
      </c>
      <c r="J41" s="4">
        <v>0</v>
      </c>
      <c r="K41" s="4" t="s">
        <v>9</v>
      </c>
      <c r="L41" s="4" t="s">
        <v>9</v>
      </c>
      <c r="M41" s="4">
        <v>0</v>
      </c>
      <c r="N41" s="4">
        <v>0</v>
      </c>
      <c r="O41" s="4">
        <v>0</v>
      </c>
      <c r="P41" s="6">
        <f t="shared" si="0"/>
        <v>0</v>
      </c>
    </row>
    <row r="42" spans="1:23" ht="36.75" outlineLevel="2" x14ac:dyDescent="0.2">
      <c r="A42" s="2">
        <v>40101</v>
      </c>
      <c r="B42" s="1"/>
      <c r="C42" s="2">
        <v>923182</v>
      </c>
      <c r="D42" s="3" t="s">
        <v>75</v>
      </c>
      <c r="E42" s="5" t="s">
        <v>16</v>
      </c>
      <c r="F42" s="4">
        <v>4125.3500000000004</v>
      </c>
      <c r="G42" s="4">
        <v>0</v>
      </c>
      <c r="H42" s="4">
        <v>4125.3500000000004</v>
      </c>
      <c r="I42" s="4">
        <v>4125.3500000000004</v>
      </c>
      <c r="J42" s="4">
        <v>0</v>
      </c>
      <c r="K42" s="4">
        <v>8.4600000000000009</v>
      </c>
      <c r="L42" s="4">
        <v>34900.46</v>
      </c>
      <c r="M42" s="4">
        <v>0</v>
      </c>
      <c r="N42" s="4">
        <v>34900.46</v>
      </c>
      <c r="O42" s="4">
        <v>34900.46</v>
      </c>
      <c r="P42" s="6">
        <f t="shared" si="0"/>
        <v>0</v>
      </c>
    </row>
    <row r="43" spans="1:23" ht="36.75" outlineLevel="2" x14ac:dyDescent="0.2">
      <c r="A43" s="2">
        <v>40102</v>
      </c>
      <c r="B43" s="1"/>
      <c r="C43" s="2">
        <v>925297</v>
      </c>
      <c r="D43" s="3" t="s">
        <v>76</v>
      </c>
      <c r="E43" s="5" t="s">
        <v>16</v>
      </c>
      <c r="F43" s="4">
        <v>3807.9</v>
      </c>
      <c r="G43" s="4">
        <v>0</v>
      </c>
      <c r="H43" s="4">
        <v>3807.9</v>
      </c>
      <c r="I43" s="4">
        <v>3807.9</v>
      </c>
      <c r="J43" s="4">
        <v>0</v>
      </c>
      <c r="K43" s="4">
        <v>7.54</v>
      </c>
      <c r="L43" s="4">
        <v>28711.56</v>
      </c>
      <c r="M43" s="4">
        <v>0</v>
      </c>
      <c r="N43" s="4">
        <v>28711.56</v>
      </c>
      <c r="O43" s="4">
        <v>28711.56</v>
      </c>
      <c r="P43" s="6">
        <f t="shared" si="0"/>
        <v>0</v>
      </c>
    </row>
    <row r="44" spans="1:23" ht="36.75" outlineLevel="2" x14ac:dyDescent="0.2">
      <c r="A44" s="2">
        <v>40103</v>
      </c>
      <c r="B44" s="1"/>
      <c r="C44" s="2">
        <v>925298</v>
      </c>
      <c r="D44" s="3" t="s">
        <v>77</v>
      </c>
      <c r="E44" s="5" t="s">
        <v>16</v>
      </c>
      <c r="F44" s="4">
        <v>100</v>
      </c>
      <c r="G44" s="4">
        <v>0</v>
      </c>
      <c r="H44" s="4">
        <v>100</v>
      </c>
      <c r="I44" s="4">
        <v>100</v>
      </c>
      <c r="J44" s="4">
        <v>0</v>
      </c>
      <c r="K44" s="4">
        <v>6.98</v>
      </c>
      <c r="L44" s="4">
        <v>698</v>
      </c>
      <c r="M44" s="4">
        <v>0</v>
      </c>
      <c r="N44" s="4">
        <v>698</v>
      </c>
      <c r="O44" s="4">
        <v>698</v>
      </c>
      <c r="P44" s="6">
        <f t="shared" si="0"/>
        <v>0</v>
      </c>
    </row>
    <row r="45" spans="1:23" ht="36.75" outlineLevel="2" x14ac:dyDescent="0.2">
      <c r="A45" s="2">
        <v>40104</v>
      </c>
      <c r="B45" s="1"/>
      <c r="C45" s="2">
        <v>923495</v>
      </c>
      <c r="D45" s="3" t="s">
        <v>78</v>
      </c>
      <c r="E45" s="5" t="s">
        <v>16</v>
      </c>
      <c r="F45" s="4">
        <v>2630.43</v>
      </c>
      <c r="G45" s="4">
        <v>0</v>
      </c>
      <c r="H45" s="4">
        <v>2630.43</v>
      </c>
      <c r="I45" s="4">
        <v>2630.43</v>
      </c>
      <c r="J45" s="4">
        <v>0</v>
      </c>
      <c r="K45" s="4">
        <v>12</v>
      </c>
      <c r="L45" s="4">
        <v>31565.16</v>
      </c>
      <c r="M45" s="4">
        <v>0</v>
      </c>
      <c r="N45" s="4">
        <v>31565.16</v>
      </c>
      <c r="O45" s="4">
        <v>31565.16</v>
      </c>
      <c r="P45" s="6">
        <f t="shared" si="0"/>
        <v>0</v>
      </c>
    </row>
    <row r="46" spans="1:23" ht="45" outlineLevel="2" x14ac:dyDescent="0.2">
      <c r="A46" s="2">
        <v>40105</v>
      </c>
      <c r="B46" s="1"/>
      <c r="C46" s="2">
        <v>920802</v>
      </c>
      <c r="D46" s="12" t="s">
        <v>79</v>
      </c>
      <c r="E46" s="5" t="s">
        <v>11</v>
      </c>
      <c r="F46" s="4">
        <v>46.74</v>
      </c>
      <c r="G46" s="4">
        <v>0</v>
      </c>
      <c r="H46" s="4">
        <v>46.74</v>
      </c>
      <c r="I46" s="4">
        <v>46.74</v>
      </c>
      <c r="J46" s="4">
        <v>0</v>
      </c>
      <c r="K46" s="4">
        <v>435.34</v>
      </c>
      <c r="L46" s="4">
        <v>20347.79</v>
      </c>
      <c r="M46" s="4">
        <v>0</v>
      </c>
      <c r="N46" s="4">
        <v>20347.79</v>
      </c>
      <c r="O46" s="4">
        <v>20347.79</v>
      </c>
      <c r="P46" s="6">
        <f t="shared" si="0"/>
        <v>0</v>
      </c>
    </row>
    <row r="47" spans="1:23" ht="45.75" outlineLevel="2" x14ac:dyDescent="0.2">
      <c r="A47" s="2">
        <v>40106</v>
      </c>
      <c r="B47" s="1"/>
      <c r="C47" s="2">
        <v>923373</v>
      </c>
      <c r="D47" s="3" t="s">
        <v>80</v>
      </c>
      <c r="E47" s="5" t="s">
        <v>10</v>
      </c>
      <c r="F47" s="4">
        <v>951.71</v>
      </c>
      <c r="G47" s="4">
        <v>0</v>
      </c>
      <c r="H47" s="4">
        <v>951.71</v>
      </c>
      <c r="I47" s="4">
        <v>951.71</v>
      </c>
      <c r="J47" s="4">
        <v>0</v>
      </c>
      <c r="K47" s="4">
        <v>33.69</v>
      </c>
      <c r="L47" s="4">
        <v>32063.1</v>
      </c>
      <c r="M47" s="4">
        <v>0</v>
      </c>
      <c r="N47" s="4">
        <v>32063.1</v>
      </c>
      <c r="O47" s="4">
        <v>32063.1</v>
      </c>
      <c r="P47" s="6">
        <f t="shared" si="0"/>
        <v>0</v>
      </c>
    </row>
    <row r="48" spans="1:23" ht="36.75" outlineLevel="2" x14ac:dyDescent="0.2">
      <c r="A48" s="2">
        <v>40107</v>
      </c>
      <c r="B48" s="1"/>
      <c r="C48" s="2">
        <v>925299</v>
      </c>
      <c r="D48" s="3" t="s">
        <v>81</v>
      </c>
      <c r="E48" s="5" t="s">
        <v>16</v>
      </c>
      <c r="F48" s="4">
        <v>366</v>
      </c>
      <c r="G48" s="4">
        <v>0</v>
      </c>
      <c r="H48" s="4">
        <v>366</v>
      </c>
      <c r="I48" s="4">
        <v>366</v>
      </c>
      <c r="J48" s="4">
        <v>0</v>
      </c>
      <c r="K48" s="4">
        <v>10.6</v>
      </c>
      <c r="L48" s="4">
        <v>3879.6</v>
      </c>
      <c r="M48" s="4">
        <v>0</v>
      </c>
      <c r="N48" s="4">
        <v>3879.6</v>
      </c>
      <c r="O48" s="4">
        <v>3879.6</v>
      </c>
      <c r="P48" s="6">
        <f t="shared" si="0"/>
        <v>0</v>
      </c>
    </row>
    <row r="49" spans="1:16" ht="36.75" outlineLevel="2" x14ac:dyDescent="0.2">
      <c r="A49" s="2">
        <v>40108</v>
      </c>
      <c r="B49" s="1"/>
      <c r="C49" s="2">
        <v>923497</v>
      </c>
      <c r="D49" s="3" t="s">
        <v>82</v>
      </c>
      <c r="E49" s="5" t="s">
        <v>16</v>
      </c>
      <c r="F49" s="4">
        <v>874.76</v>
      </c>
      <c r="G49" s="4">
        <v>0</v>
      </c>
      <c r="H49" s="4">
        <v>874.76</v>
      </c>
      <c r="I49" s="4">
        <v>874.76</v>
      </c>
      <c r="J49" s="4">
        <v>0</v>
      </c>
      <c r="K49" s="4">
        <v>10.37</v>
      </c>
      <c r="L49" s="4">
        <v>9071.26</v>
      </c>
      <c r="M49" s="4">
        <v>0</v>
      </c>
      <c r="N49" s="4">
        <v>9071.26</v>
      </c>
      <c r="O49" s="4">
        <v>9071.26</v>
      </c>
      <c r="P49" s="6">
        <f t="shared" si="0"/>
        <v>0</v>
      </c>
    </row>
    <row r="50" spans="1:16" ht="36.75" outlineLevel="2" x14ac:dyDescent="0.2">
      <c r="A50" s="2">
        <v>40109</v>
      </c>
      <c r="B50" s="1"/>
      <c r="C50" s="2">
        <v>925300</v>
      </c>
      <c r="D50" s="3" t="s">
        <v>83</v>
      </c>
      <c r="E50" s="5" t="s">
        <v>11</v>
      </c>
      <c r="F50" s="4">
        <v>63.02</v>
      </c>
      <c r="G50" s="4">
        <v>0</v>
      </c>
      <c r="H50" s="4">
        <v>63.02</v>
      </c>
      <c r="I50" s="4">
        <v>63.02</v>
      </c>
      <c r="J50" s="4">
        <v>0</v>
      </c>
      <c r="K50" s="4">
        <v>353.63</v>
      </c>
      <c r="L50" s="4">
        <v>22285.759999999998</v>
      </c>
      <c r="M50" s="4">
        <v>0</v>
      </c>
      <c r="N50" s="4">
        <v>22285.759999999998</v>
      </c>
      <c r="O50" s="4">
        <v>22285.759999999998</v>
      </c>
      <c r="P50" s="6">
        <f t="shared" si="0"/>
        <v>0</v>
      </c>
    </row>
    <row r="51" spans="1:16" ht="36.75" outlineLevel="2" x14ac:dyDescent="0.2">
      <c r="A51" s="2">
        <v>40110</v>
      </c>
      <c r="B51" s="1"/>
      <c r="C51" s="2">
        <v>923562</v>
      </c>
      <c r="D51" s="3" t="s">
        <v>84</v>
      </c>
      <c r="E51" s="5" t="s">
        <v>10</v>
      </c>
      <c r="F51" s="4">
        <v>1179.1199999999999</v>
      </c>
      <c r="G51" s="4">
        <v>0</v>
      </c>
      <c r="H51" s="4">
        <v>1179.1199999999999</v>
      </c>
      <c r="I51" s="4">
        <v>1179.1199999999999</v>
      </c>
      <c r="J51" s="4">
        <v>0</v>
      </c>
      <c r="K51" s="4">
        <v>75.430000000000007</v>
      </c>
      <c r="L51" s="4">
        <v>88941.02</v>
      </c>
      <c r="M51" s="4">
        <v>0</v>
      </c>
      <c r="N51" s="4">
        <v>88941.02</v>
      </c>
      <c r="O51" s="4">
        <v>88941.02</v>
      </c>
      <c r="P51" s="6">
        <f t="shared" si="0"/>
        <v>0</v>
      </c>
    </row>
    <row r="52" spans="1:16" ht="36.75" outlineLevel="2" x14ac:dyDescent="0.2">
      <c r="A52" s="2">
        <v>40111</v>
      </c>
      <c r="B52" s="1"/>
      <c r="C52" s="2">
        <v>925301</v>
      </c>
      <c r="D52" s="3" t="s">
        <v>85</v>
      </c>
      <c r="E52" s="5" t="s">
        <v>10</v>
      </c>
      <c r="F52" s="4">
        <v>1326.65</v>
      </c>
      <c r="G52" s="4">
        <v>0</v>
      </c>
      <c r="H52" s="4">
        <v>1326.65</v>
      </c>
      <c r="I52" s="4">
        <v>1326.65</v>
      </c>
      <c r="J52" s="4">
        <v>0</v>
      </c>
      <c r="K52" s="4">
        <v>76.97</v>
      </c>
      <c r="L52" s="4">
        <v>102112.25</v>
      </c>
      <c r="M52" s="4">
        <v>0</v>
      </c>
      <c r="N52" s="4">
        <v>102112.25</v>
      </c>
      <c r="O52" s="4">
        <v>102112.25</v>
      </c>
      <c r="P52" s="6">
        <f t="shared" si="0"/>
        <v>0</v>
      </c>
    </row>
    <row r="53" spans="1:16" ht="18.75" outlineLevel="2" x14ac:dyDescent="0.2">
      <c r="A53" s="2">
        <v>40112</v>
      </c>
      <c r="B53" s="1"/>
      <c r="C53" s="2">
        <v>923500</v>
      </c>
      <c r="D53" s="3" t="s">
        <v>86</v>
      </c>
      <c r="E53" s="5" t="s">
        <v>15</v>
      </c>
      <c r="F53" s="4">
        <v>20.9</v>
      </c>
      <c r="G53" s="4">
        <v>0</v>
      </c>
      <c r="H53" s="4">
        <v>20.9</v>
      </c>
      <c r="I53" s="4">
        <v>20.9</v>
      </c>
      <c r="J53" s="4">
        <v>0</v>
      </c>
      <c r="K53" s="4">
        <v>22.38</v>
      </c>
      <c r="L53" s="4">
        <v>467.74</v>
      </c>
      <c r="M53" s="4">
        <v>0</v>
      </c>
      <c r="N53" s="4">
        <v>467.74</v>
      </c>
      <c r="O53" s="4">
        <v>467.74</v>
      </c>
      <c r="P53" s="6">
        <f t="shared" si="0"/>
        <v>0</v>
      </c>
    </row>
    <row r="54" spans="1:16" ht="18.75" outlineLevel="2" x14ac:dyDescent="0.2">
      <c r="A54" s="2">
        <v>40113</v>
      </c>
      <c r="B54" s="1"/>
      <c r="C54" s="2">
        <v>923499</v>
      </c>
      <c r="D54" s="3" t="s">
        <v>87</v>
      </c>
      <c r="E54" s="5" t="s">
        <v>15</v>
      </c>
      <c r="F54" s="4">
        <v>20.9</v>
      </c>
      <c r="G54" s="4">
        <v>0</v>
      </c>
      <c r="H54" s="4">
        <v>20.9</v>
      </c>
      <c r="I54" s="4">
        <v>20.9</v>
      </c>
      <c r="J54" s="4">
        <v>0</v>
      </c>
      <c r="K54" s="4">
        <v>22.07</v>
      </c>
      <c r="L54" s="4">
        <v>461.26</v>
      </c>
      <c r="M54" s="4">
        <v>0</v>
      </c>
      <c r="N54" s="4">
        <v>461.26</v>
      </c>
      <c r="O54" s="4">
        <v>461.26</v>
      </c>
      <c r="P54" s="6">
        <f t="shared" si="0"/>
        <v>0</v>
      </c>
    </row>
    <row r="55" spans="1:16" ht="18.75" outlineLevel="2" x14ac:dyDescent="0.2">
      <c r="A55" s="2">
        <v>40114</v>
      </c>
      <c r="B55" s="1"/>
      <c r="C55" s="2">
        <v>925302</v>
      </c>
      <c r="D55" s="3" t="s">
        <v>88</v>
      </c>
      <c r="E55" s="5" t="s">
        <v>15</v>
      </c>
      <c r="F55" s="4">
        <v>250.45</v>
      </c>
      <c r="G55" s="4">
        <v>0</v>
      </c>
      <c r="H55" s="4">
        <v>250.45</v>
      </c>
      <c r="I55" s="4">
        <v>250.45</v>
      </c>
      <c r="J55" s="4">
        <v>0</v>
      </c>
      <c r="K55" s="4">
        <v>28.8</v>
      </c>
      <c r="L55" s="4">
        <v>7212.96</v>
      </c>
      <c r="M55" s="4">
        <v>0</v>
      </c>
      <c r="N55" s="4">
        <v>7212.96</v>
      </c>
      <c r="O55" s="4">
        <v>7212.96</v>
      </c>
      <c r="P55" s="6">
        <f t="shared" si="0"/>
        <v>0</v>
      </c>
    </row>
    <row r="56" spans="1:16" ht="18.75" outlineLevel="2" x14ac:dyDescent="0.2">
      <c r="A56" s="2">
        <v>40115</v>
      </c>
      <c r="B56" s="1"/>
      <c r="C56" s="2">
        <v>921937</v>
      </c>
      <c r="D56" s="3" t="s">
        <v>89</v>
      </c>
      <c r="E56" s="5" t="s">
        <v>15</v>
      </c>
      <c r="F56" s="4">
        <v>250.45</v>
      </c>
      <c r="G56" s="4">
        <v>0</v>
      </c>
      <c r="H56" s="4">
        <v>250.45</v>
      </c>
      <c r="I56" s="4">
        <v>250.45</v>
      </c>
      <c r="J56" s="4">
        <v>0</v>
      </c>
      <c r="K56" s="4">
        <v>26.02</v>
      </c>
      <c r="L56" s="4">
        <v>6516.7</v>
      </c>
      <c r="M56" s="4">
        <v>0</v>
      </c>
      <c r="N56" s="4">
        <v>6516.7</v>
      </c>
      <c r="O56" s="4">
        <v>6516.7</v>
      </c>
      <c r="P56" s="6">
        <f t="shared" si="0"/>
        <v>0</v>
      </c>
    </row>
    <row r="57" spans="1:16" ht="18.75" outlineLevel="2" x14ac:dyDescent="0.2">
      <c r="A57" s="2">
        <v>40116</v>
      </c>
      <c r="B57" s="1"/>
      <c r="C57" s="2">
        <v>923501</v>
      </c>
      <c r="D57" s="3" t="s">
        <v>90</v>
      </c>
      <c r="E57" s="5" t="s">
        <v>15</v>
      </c>
      <c r="F57" s="4">
        <v>55.3</v>
      </c>
      <c r="G57" s="4">
        <v>0</v>
      </c>
      <c r="H57" s="4">
        <v>55.3</v>
      </c>
      <c r="I57" s="4">
        <v>55.3</v>
      </c>
      <c r="J57" s="4">
        <v>0</v>
      </c>
      <c r="K57" s="4">
        <v>17.21</v>
      </c>
      <c r="L57" s="4">
        <v>951.71</v>
      </c>
      <c r="M57" s="4">
        <v>0</v>
      </c>
      <c r="N57" s="4">
        <v>951.71</v>
      </c>
      <c r="O57" s="4">
        <v>951.71</v>
      </c>
      <c r="P57" s="6">
        <f t="shared" si="0"/>
        <v>0</v>
      </c>
    </row>
    <row r="58" spans="1:16" ht="18.75" outlineLevel="2" x14ac:dyDescent="0.2">
      <c r="A58" s="2">
        <v>40117</v>
      </c>
      <c r="B58" s="1"/>
      <c r="C58" s="2">
        <v>921938</v>
      </c>
      <c r="D58" s="3" t="s">
        <v>91</v>
      </c>
      <c r="E58" s="5" t="s">
        <v>15</v>
      </c>
      <c r="F58" s="4">
        <v>14.45</v>
      </c>
      <c r="G58" s="4">
        <v>0</v>
      </c>
      <c r="H58" s="4">
        <v>14.45</v>
      </c>
      <c r="I58" s="4">
        <v>14.45</v>
      </c>
      <c r="J58" s="4">
        <v>0</v>
      </c>
      <c r="K58" s="4">
        <v>28.35</v>
      </c>
      <c r="L58" s="4">
        <v>409.65</v>
      </c>
      <c r="M58" s="4">
        <v>0</v>
      </c>
      <c r="N58" s="4">
        <v>409.65</v>
      </c>
      <c r="O58" s="4">
        <v>409.65</v>
      </c>
      <c r="P58" s="6">
        <f t="shared" si="0"/>
        <v>0</v>
      </c>
    </row>
    <row r="59" spans="1:16" x14ac:dyDescent="0.2">
      <c r="A59" s="1"/>
      <c r="B59" s="1"/>
      <c r="C59" s="1"/>
      <c r="D59" s="9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6">
        <f t="shared" si="0"/>
        <v>0</v>
      </c>
    </row>
    <row r="60" spans="1:16" x14ac:dyDescent="0.2">
      <c r="A60" s="1"/>
      <c r="B60" s="1"/>
      <c r="C60" s="1"/>
      <c r="D60" s="9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6">
        <f t="shared" si="0"/>
        <v>0</v>
      </c>
    </row>
    <row r="61" spans="1:16" outlineLevel="2" x14ac:dyDescent="0.2">
      <c r="A61" s="2">
        <v>50100</v>
      </c>
      <c r="B61" s="1"/>
      <c r="C61" s="2">
        <v>931031</v>
      </c>
      <c r="D61" s="7" t="s">
        <v>18</v>
      </c>
      <c r="E61" s="1"/>
      <c r="F61" s="4" t="s">
        <v>9</v>
      </c>
      <c r="G61" s="4">
        <v>0</v>
      </c>
      <c r="H61" s="4">
        <v>0</v>
      </c>
      <c r="I61" s="4">
        <v>0</v>
      </c>
      <c r="J61" s="4">
        <v>0</v>
      </c>
      <c r="K61" s="4" t="s">
        <v>9</v>
      </c>
      <c r="L61" s="4" t="s">
        <v>9</v>
      </c>
      <c r="M61" s="4">
        <v>0</v>
      </c>
      <c r="N61" s="4">
        <v>0</v>
      </c>
      <c r="O61" s="4">
        <v>0</v>
      </c>
      <c r="P61" s="6">
        <f t="shared" si="0"/>
        <v>0</v>
      </c>
    </row>
    <row r="62" spans="1:16" ht="18.75" outlineLevel="2" x14ac:dyDescent="0.2">
      <c r="A62" s="2">
        <v>50101</v>
      </c>
      <c r="B62" s="1"/>
      <c r="C62" s="2">
        <v>925303</v>
      </c>
      <c r="D62" s="3" t="s">
        <v>92</v>
      </c>
      <c r="E62" s="5" t="s">
        <v>16</v>
      </c>
      <c r="F62" s="4">
        <v>32300</v>
      </c>
      <c r="G62" s="4">
        <v>0</v>
      </c>
      <c r="H62" s="4">
        <v>16740</v>
      </c>
      <c r="I62" s="4">
        <v>16740</v>
      </c>
      <c r="J62" s="4">
        <v>15560</v>
      </c>
      <c r="K62" s="4">
        <v>9.73</v>
      </c>
      <c r="L62" s="4">
        <v>314279</v>
      </c>
      <c r="M62" s="4">
        <v>0</v>
      </c>
      <c r="N62" s="4">
        <v>162880.20000000001</v>
      </c>
      <c r="O62" s="4">
        <v>162880.20000000001</v>
      </c>
      <c r="P62" s="6">
        <f t="shared" si="0"/>
        <v>151398.80000000002</v>
      </c>
    </row>
    <row r="63" spans="1:16" ht="27.75" outlineLevel="2" x14ac:dyDescent="0.2">
      <c r="A63" s="2">
        <v>50102</v>
      </c>
      <c r="B63" s="1"/>
      <c r="C63" s="2">
        <v>925015</v>
      </c>
      <c r="D63" s="3" t="s">
        <v>93</v>
      </c>
      <c r="E63" s="5" t="s">
        <v>10</v>
      </c>
      <c r="F63" s="4">
        <v>2616.42</v>
      </c>
      <c r="G63" s="4">
        <v>506.17</v>
      </c>
      <c r="H63" s="4">
        <v>1212.5999999999999</v>
      </c>
      <c r="I63" s="4">
        <v>1718.77</v>
      </c>
      <c r="J63" s="4">
        <v>897.65</v>
      </c>
      <c r="K63" s="4">
        <v>31.04</v>
      </c>
      <c r="L63" s="4">
        <v>81213.67</v>
      </c>
      <c r="M63" s="4">
        <v>15711.51</v>
      </c>
      <c r="N63" s="4">
        <v>37639.1</v>
      </c>
      <c r="O63" s="4">
        <v>53350.61</v>
      </c>
      <c r="P63" s="6">
        <f t="shared" si="0"/>
        <v>27863.055999999997</v>
      </c>
    </row>
    <row r="64" spans="1:16" ht="18.75" outlineLevel="2" x14ac:dyDescent="0.2">
      <c r="A64" s="2">
        <v>50103</v>
      </c>
      <c r="B64" s="1"/>
      <c r="C64" s="2">
        <v>923391</v>
      </c>
      <c r="D64" s="3" t="s">
        <v>94</v>
      </c>
      <c r="E64" s="5" t="s">
        <v>10</v>
      </c>
      <c r="F64" s="4">
        <v>379.58</v>
      </c>
      <c r="G64" s="4">
        <v>0</v>
      </c>
      <c r="H64" s="4">
        <v>0</v>
      </c>
      <c r="I64" s="4">
        <v>0</v>
      </c>
      <c r="J64" s="4">
        <v>379.58</v>
      </c>
      <c r="K64" s="4">
        <v>40.590000000000003</v>
      </c>
      <c r="L64" s="4">
        <v>15407.15</v>
      </c>
      <c r="M64" s="4">
        <v>0</v>
      </c>
      <c r="N64" s="4">
        <v>0</v>
      </c>
      <c r="O64" s="4">
        <v>0</v>
      </c>
      <c r="P64" s="6">
        <f t="shared" si="0"/>
        <v>15407.1522</v>
      </c>
    </row>
    <row r="65" spans="1:16" ht="27.75" outlineLevel="2" x14ac:dyDescent="0.2">
      <c r="A65" s="2">
        <v>50104</v>
      </c>
      <c r="B65" s="1"/>
      <c r="C65" s="2">
        <v>925304</v>
      </c>
      <c r="D65" s="3" t="s">
        <v>95</v>
      </c>
      <c r="E65" s="5" t="s">
        <v>10</v>
      </c>
      <c r="F65" s="4">
        <v>1.34</v>
      </c>
      <c r="G65" s="4">
        <v>0</v>
      </c>
      <c r="H65" s="4">
        <v>0</v>
      </c>
      <c r="I65" s="4">
        <v>0</v>
      </c>
      <c r="J65" s="4">
        <v>1.34</v>
      </c>
      <c r="K65" s="4">
        <v>42.9</v>
      </c>
      <c r="L65" s="4">
        <v>57.48</v>
      </c>
      <c r="M65" s="4">
        <v>0</v>
      </c>
      <c r="N65" s="4">
        <v>0</v>
      </c>
      <c r="O65" s="4">
        <v>0</v>
      </c>
      <c r="P65" s="6">
        <f t="shared" si="0"/>
        <v>57.486000000000004</v>
      </c>
    </row>
    <row r="66" spans="1:16" ht="18.75" outlineLevel="2" x14ac:dyDescent="0.2">
      <c r="A66" s="2">
        <v>50105</v>
      </c>
      <c r="B66" s="1"/>
      <c r="C66" s="2">
        <v>922398</v>
      </c>
      <c r="D66" s="3" t="s">
        <v>96</v>
      </c>
      <c r="E66" s="5" t="s">
        <v>15</v>
      </c>
      <c r="F66" s="4">
        <v>81.569999999999993</v>
      </c>
      <c r="G66" s="4">
        <v>0</v>
      </c>
      <c r="H66" s="4">
        <v>0</v>
      </c>
      <c r="I66" s="4">
        <v>0</v>
      </c>
      <c r="J66" s="4">
        <v>81.569999999999993</v>
      </c>
      <c r="K66" s="4">
        <v>25.06</v>
      </c>
      <c r="L66" s="4">
        <v>2044.14</v>
      </c>
      <c r="M66" s="4">
        <v>0</v>
      </c>
      <c r="N66" s="4">
        <v>0</v>
      </c>
      <c r="O66" s="4">
        <v>0</v>
      </c>
      <c r="P66" s="6">
        <f t="shared" si="0"/>
        <v>2044.1441999999997</v>
      </c>
    </row>
    <row r="67" spans="1:16" ht="27.75" outlineLevel="2" x14ac:dyDescent="0.2">
      <c r="A67" s="2">
        <v>50106</v>
      </c>
      <c r="B67" s="1"/>
      <c r="C67" s="2">
        <v>925016</v>
      </c>
      <c r="D67" s="3" t="s">
        <v>97</v>
      </c>
      <c r="E67" s="5" t="s">
        <v>15</v>
      </c>
      <c r="F67" s="4">
        <v>247.28</v>
      </c>
      <c r="G67" s="4">
        <v>38.450000000000003</v>
      </c>
      <c r="H67" s="4">
        <v>23.35</v>
      </c>
      <c r="I67" s="4">
        <v>61.8</v>
      </c>
      <c r="J67" s="4">
        <v>185.48</v>
      </c>
      <c r="K67" s="4">
        <v>20.28</v>
      </c>
      <c r="L67" s="4">
        <v>5014.83</v>
      </c>
      <c r="M67" s="4">
        <v>779.76</v>
      </c>
      <c r="N67" s="4">
        <v>473.53</v>
      </c>
      <c r="O67" s="4">
        <v>1253.29</v>
      </c>
      <c r="P67" s="6">
        <f t="shared" si="0"/>
        <v>3761.5344</v>
      </c>
    </row>
    <row r="68" spans="1:16" x14ac:dyDescent="0.2">
      <c r="A68" s="1"/>
      <c r="B68" s="1"/>
      <c r="C68" s="1"/>
      <c r="D68" s="9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6">
        <f t="shared" si="0"/>
        <v>0</v>
      </c>
    </row>
    <row r="69" spans="1:16" x14ac:dyDescent="0.2">
      <c r="A69" s="1"/>
      <c r="B69" s="1"/>
      <c r="C69" s="1"/>
      <c r="D69" s="9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6">
        <f t="shared" si="0"/>
        <v>0</v>
      </c>
    </row>
    <row r="70" spans="1:16" outlineLevel="2" x14ac:dyDescent="0.2">
      <c r="A70" s="2">
        <v>60100</v>
      </c>
      <c r="B70" s="1"/>
      <c r="C70" s="2">
        <v>949877</v>
      </c>
      <c r="D70" s="7" t="s">
        <v>19</v>
      </c>
      <c r="E70" s="1"/>
      <c r="F70" s="4" t="s">
        <v>9</v>
      </c>
      <c r="G70" s="4">
        <v>0</v>
      </c>
      <c r="H70" s="4">
        <v>0</v>
      </c>
      <c r="I70" s="4">
        <v>0</v>
      </c>
      <c r="J70" s="4">
        <v>0</v>
      </c>
      <c r="K70" s="4" t="s">
        <v>9</v>
      </c>
      <c r="L70" s="4" t="s">
        <v>9</v>
      </c>
      <c r="M70" s="4">
        <v>0</v>
      </c>
      <c r="N70" s="4">
        <v>0</v>
      </c>
      <c r="O70" s="4">
        <v>0</v>
      </c>
      <c r="P70" s="6">
        <f t="shared" si="0"/>
        <v>0</v>
      </c>
    </row>
    <row r="71" spans="1:16" ht="27.75" outlineLevel="2" x14ac:dyDescent="0.2">
      <c r="A71" s="2">
        <v>60101</v>
      </c>
      <c r="B71" s="1"/>
      <c r="C71" s="2">
        <v>925305</v>
      </c>
      <c r="D71" s="3" t="s">
        <v>98</v>
      </c>
      <c r="E71" s="5" t="s">
        <v>20</v>
      </c>
      <c r="F71" s="4">
        <v>18</v>
      </c>
      <c r="G71" s="4">
        <v>0</v>
      </c>
      <c r="H71" s="4">
        <v>0</v>
      </c>
      <c r="I71" s="4">
        <v>0</v>
      </c>
      <c r="J71" s="4">
        <v>18</v>
      </c>
      <c r="K71" s="4">
        <v>885.16</v>
      </c>
      <c r="L71" s="4">
        <v>15932.88</v>
      </c>
      <c r="M71" s="4">
        <v>0</v>
      </c>
      <c r="N71" s="4">
        <v>0</v>
      </c>
      <c r="O71" s="4">
        <v>0</v>
      </c>
      <c r="P71" s="6">
        <f t="shared" si="0"/>
        <v>15932.88</v>
      </c>
    </row>
    <row r="72" spans="1:16" ht="54.75" outlineLevel="2" x14ac:dyDescent="0.2">
      <c r="A72" s="2">
        <v>60102</v>
      </c>
      <c r="B72" s="1"/>
      <c r="C72" s="2">
        <v>925306</v>
      </c>
      <c r="D72" s="3" t="s">
        <v>99</v>
      </c>
      <c r="E72" s="5" t="s">
        <v>20</v>
      </c>
      <c r="F72" s="4">
        <v>7</v>
      </c>
      <c r="G72" s="4">
        <v>0</v>
      </c>
      <c r="H72" s="4">
        <v>0</v>
      </c>
      <c r="I72" s="4">
        <v>0</v>
      </c>
      <c r="J72" s="4">
        <v>7</v>
      </c>
      <c r="K72" s="4">
        <v>621.13</v>
      </c>
      <c r="L72" s="4">
        <v>4347.91</v>
      </c>
      <c r="M72" s="4">
        <v>0</v>
      </c>
      <c r="N72" s="4">
        <v>0</v>
      </c>
      <c r="O72" s="4">
        <v>0</v>
      </c>
      <c r="P72" s="6">
        <f t="shared" si="0"/>
        <v>4347.91</v>
      </c>
    </row>
    <row r="73" spans="1:16" ht="18.75" outlineLevel="2" x14ac:dyDescent="0.2">
      <c r="A73" s="2">
        <v>60103</v>
      </c>
      <c r="B73" s="1"/>
      <c r="C73" s="2">
        <v>925307</v>
      </c>
      <c r="D73" s="3" t="s">
        <v>100</v>
      </c>
      <c r="E73" s="5" t="s">
        <v>20</v>
      </c>
      <c r="F73" s="4">
        <v>8</v>
      </c>
      <c r="G73" s="4">
        <v>0</v>
      </c>
      <c r="H73" s="4">
        <v>0</v>
      </c>
      <c r="I73" s="4">
        <v>0</v>
      </c>
      <c r="J73" s="4">
        <v>8</v>
      </c>
      <c r="K73" s="4">
        <v>1076.8399999999999</v>
      </c>
      <c r="L73" s="4">
        <v>8614.7199999999993</v>
      </c>
      <c r="M73" s="4">
        <v>0</v>
      </c>
      <c r="N73" s="4">
        <v>0</v>
      </c>
      <c r="O73" s="4">
        <v>0</v>
      </c>
      <c r="P73" s="6">
        <f t="shared" ref="P73:P150" si="1">PRODUCT(J73,K73)</f>
        <v>8614.7199999999993</v>
      </c>
    </row>
    <row r="74" spans="1:16" ht="36.75" outlineLevel="2" x14ac:dyDescent="0.2">
      <c r="A74" s="2">
        <v>60104</v>
      </c>
      <c r="B74" s="1"/>
      <c r="C74" s="2">
        <v>925308</v>
      </c>
      <c r="D74" s="3" t="s">
        <v>101</v>
      </c>
      <c r="E74" s="5" t="s">
        <v>20</v>
      </c>
      <c r="F74" s="4">
        <v>16</v>
      </c>
      <c r="G74" s="4">
        <v>0</v>
      </c>
      <c r="H74" s="4">
        <v>0</v>
      </c>
      <c r="I74" s="4">
        <v>0</v>
      </c>
      <c r="J74" s="4">
        <v>16</v>
      </c>
      <c r="K74" s="4">
        <v>350.21</v>
      </c>
      <c r="L74" s="4">
        <v>5603.36</v>
      </c>
      <c r="M74" s="4">
        <v>0</v>
      </c>
      <c r="N74" s="4">
        <v>0</v>
      </c>
      <c r="O74" s="4">
        <v>0</v>
      </c>
      <c r="P74" s="6">
        <f t="shared" si="1"/>
        <v>5603.36</v>
      </c>
    </row>
    <row r="75" spans="1:16" ht="18.75" outlineLevel="2" x14ac:dyDescent="0.2">
      <c r="A75" s="2">
        <v>60105</v>
      </c>
      <c r="B75" s="1"/>
      <c r="C75" s="2">
        <v>925309</v>
      </c>
      <c r="D75" s="3" t="s">
        <v>102</v>
      </c>
      <c r="E75" s="5" t="s">
        <v>20</v>
      </c>
      <c r="F75" s="4">
        <v>6</v>
      </c>
      <c r="G75" s="4">
        <v>0</v>
      </c>
      <c r="H75" s="4">
        <v>0</v>
      </c>
      <c r="I75" s="4">
        <v>0</v>
      </c>
      <c r="J75" s="4">
        <v>6</v>
      </c>
      <c r="K75" s="4">
        <v>892.87</v>
      </c>
      <c r="L75" s="4">
        <v>5357.22</v>
      </c>
      <c r="M75" s="4">
        <v>0</v>
      </c>
      <c r="N75" s="4">
        <v>0</v>
      </c>
      <c r="O75" s="4">
        <v>0</v>
      </c>
      <c r="P75" s="6">
        <f t="shared" si="1"/>
        <v>5357.22</v>
      </c>
    </row>
    <row r="76" spans="1:16" outlineLevel="2" x14ac:dyDescent="0.2">
      <c r="A76" s="2">
        <v>60106</v>
      </c>
      <c r="B76" s="1"/>
      <c r="C76" s="2">
        <v>920991</v>
      </c>
      <c r="D76" s="3" t="s">
        <v>103</v>
      </c>
      <c r="E76" s="5" t="s">
        <v>10</v>
      </c>
      <c r="F76" s="4">
        <v>156.96</v>
      </c>
      <c r="G76" s="4">
        <v>0</v>
      </c>
      <c r="H76" s="4">
        <v>0</v>
      </c>
      <c r="I76" s="4">
        <v>0</v>
      </c>
      <c r="J76" s="4">
        <v>156.96</v>
      </c>
      <c r="K76" s="4">
        <v>18.5</v>
      </c>
      <c r="L76" s="4">
        <v>2903.76</v>
      </c>
      <c r="M76" s="4">
        <v>0</v>
      </c>
      <c r="N76" s="4">
        <v>0</v>
      </c>
      <c r="O76" s="4">
        <v>0</v>
      </c>
      <c r="P76" s="6">
        <f t="shared" si="1"/>
        <v>2903.76</v>
      </c>
    </row>
    <row r="77" spans="1:16" ht="27.75" outlineLevel="2" x14ac:dyDescent="0.2">
      <c r="A77" s="2">
        <v>60107</v>
      </c>
      <c r="B77" s="1"/>
      <c r="C77" s="2">
        <v>923159</v>
      </c>
      <c r="D77" s="3" t="s">
        <v>104</v>
      </c>
      <c r="E77" s="5" t="s">
        <v>20</v>
      </c>
      <c r="F77" s="4">
        <v>23</v>
      </c>
      <c r="G77" s="4">
        <v>0</v>
      </c>
      <c r="H77" s="4">
        <v>0</v>
      </c>
      <c r="I77" s="4">
        <v>0</v>
      </c>
      <c r="J77" s="4">
        <v>23</v>
      </c>
      <c r="K77" s="4">
        <v>77.930000000000007</v>
      </c>
      <c r="L77" s="4">
        <v>1792.39</v>
      </c>
      <c r="M77" s="4">
        <v>0</v>
      </c>
      <c r="N77" s="4">
        <v>0</v>
      </c>
      <c r="O77" s="4">
        <v>0</v>
      </c>
      <c r="P77" s="6">
        <f t="shared" si="1"/>
        <v>1792.39</v>
      </c>
    </row>
    <row r="78" spans="1:16" ht="27.75" outlineLevel="2" x14ac:dyDescent="0.2">
      <c r="A78" s="2">
        <v>60108</v>
      </c>
      <c r="B78" s="1"/>
      <c r="C78" s="2">
        <v>925310</v>
      </c>
      <c r="D78" s="3" t="s">
        <v>105</v>
      </c>
      <c r="E78" s="5" t="s">
        <v>10</v>
      </c>
      <c r="F78" s="4">
        <v>12.39</v>
      </c>
      <c r="G78" s="4">
        <v>0</v>
      </c>
      <c r="H78" s="4">
        <v>0</v>
      </c>
      <c r="I78" s="4">
        <v>0</v>
      </c>
      <c r="J78" s="4">
        <v>12.39</v>
      </c>
      <c r="K78" s="4">
        <v>1225.32</v>
      </c>
      <c r="L78" s="4">
        <v>15181.71</v>
      </c>
      <c r="M78" s="4">
        <v>0</v>
      </c>
      <c r="N78" s="4">
        <v>0</v>
      </c>
      <c r="O78" s="4">
        <v>0</v>
      </c>
      <c r="P78" s="6">
        <f t="shared" si="1"/>
        <v>15181.7148</v>
      </c>
    </row>
    <row r="79" spans="1:16" outlineLevel="2" x14ac:dyDescent="0.2">
      <c r="A79" s="2">
        <v>60109</v>
      </c>
      <c r="B79" s="1"/>
      <c r="C79" s="2">
        <v>925311</v>
      </c>
      <c r="D79" s="3" t="s">
        <v>106</v>
      </c>
      <c r="E79" s="5" t="s">
        <v>10</v>
      </c>
      <c r="F79" s="4">
        <v>101.07</v>
      </c>
      <c r="G79" s="4">
        <v>0</v>
      </c>
      <c r="H79" s="4">
        <v>0</v>
      </c>
      <c r="I79" s="4">
        <v>0</v>
      </c>
      <c r="J79" s="4">
        <v>101.07</v>
      </c>
      <c r="K79" s="4">
        <v>550.86</v>
      </c>
      <c r="L79" s="4">
        <v>55675.42</v>
      </c>
      <c r="M79" s="4">
        <v>0</v>
      </c>
      <c r="N79" s="4">
        <v>0</v>
      </c>
      <c r="O79" s="4">
        <v>0</v>
      </c>
      <c r="P79" s="6">
        <f t="shared" si="1"/>
        <v>55675.4202</v>
      </c>
    </row>
    <row r="80" spans="1:16" ht="18.75" outlineLevel="2" x14ac:dyDescent="0.2">
      <c r="A80" s="2">
        <v>60110</v>
      </c>
      <c r="B80" s="1"/>
      <c r="C80" s="2">
        <v>925312</v>
      </c>
      <c r="D80" s="3" t="s">
        <v>107</v>
      </c>
      <c r="E80" s="5" t="s">
        <v>10</v>
      </c>
      <c r="F80" s="4">
        <v>10.9</v>
      </c>
      <c r="G80" s="4">
        <v>0</v>
      </c>
      <c r="H80" s="4">
        <v>0</v>
      </c>
      <c r="I80" s="4">
        <v>0</v>
      </c>
      <c r="J80" s="4">
        <v>10.9</v>
      </c>
      <c r="K80" s="4">
        <v>421.62</v>
      </c>
      <c r="L80" s="4">
        <v>4595.6499999999996</v>
      </c>
      <c r="M80" s="4">
        <v>0</v>
      </c>
      <c r="N80" s="4">
        <v>0</v>
      </c>
      <c r="O80" s="4">
        <v>0</v>
      </c>
      <c r="P80" s="6">
        <f t="shared" si="1"/>
        <v>4595.6580000000004</v>
      </c>
    </row>
    <row r="81" spans="1:16" ht="18.75" outlineLevel="2" x14ac:dyDescent="0.2">
      <c r="A81" s="2">
        <v>60111</v>
      </c>
      <c r="B81" s="1"/>
      <c r="C81" s="2">
        <v>924633</v>
      </c>
      <c r="D81" s="3" t="s">
        <v>108</v>
      </c>
      <c r="E81" s="5" t="s">
        <v>10</v>
      </c>
      <c r="F81" s="4">
        <v>10.35</v>
      </c>
      <c r="G81" s="4">
        <v>0</v>
      </c>
      <c r="H81" s="4">
        <v>0</v>
      </c>
      <c r="I81" s="4">
        <v>0</v>
      </c>
      <c r="J81" s="4">
        <v>10.35</v>
      </c>
      <c r="K81" s="4">
        <v>443.42</v>
      </c>
      <c r="L81" s="4">
        <v>4589.3900000000003</v>
      </c>
      <c r="M81" s="4">
        <v>0</v>
      </c>
      <c r="N81" s="4">
        <v>0</v>
      </c>
      <c r="O81" s="4">
        <v>0</v>
      </c>
      <c r="P81" s="6">
        <f t="shared" si="1"/>
        <v>4589.3969999999999</v>
      </c>
    </row>
    <row r="82" spans="1:16" ht="18.75" outlineLevel="2" x14ac:dyDescent="0.2">
      <c r="A82" s="2">
        <v>60112</v>
      </c>
      <c r="B82" s="1"/>
      <c r="C82" s="2">
        <v>925313</v>
      </c>
      <c r="D82" s="3" t="s">
        <v>109</v>
      </c>
      <c r="E82" s="5" t="s">
        <v>10</v>
      </c>
      <c r="F82" s="4">
        <v>2.64</v>
      </c>
      <c r="G82" s="4">
        <v>0</v>
      </c>
      <c r="H82" s="4">
        <v>0</v>
      </c>
      <c r="I82" s="4">
        <v>0</v>
      </c>
      <c r="J82" s="4">
        <v>2.64</v>
      </c>
      <c r="K82" s="4">
        <v>332.97</v>
      </c>
      <c r="L82" s="4">
        <v>879.04</v>
      </c>
      <c r="M82" s="4">
        <v>0</v>
      </c>
      <c r="N82" s="4">
        <v>0</v>
      </c>
      <c r="O82" s="4">
        <v>0</v>
      </c>
      <c r="P82" s="6">
        <f t="shared" si="1"/>
        <v>879.0408000000001</v>
      </c>
    </row>
    <row r="83" spans="1:16" ht="18.75" outlineLevel="2" x14ac:dyDescent="0.2">
      <c r="A83" s="2">
        <v>60113</v>
      </c>
      <c r="B83" s="1"/>
      <c r="C83" s="2">
        <v>925314</v>
      </c>
      <c r="D83" s="3" t="s">
        <v>110</v>
      </c>
      <c r="E83" s="5" t="s">
        <v>20</v>
      </c>
      <c r="F83" s="4">
        <v>54</v>
      </c>
      <c r="G83" s="4">
        <v>0</v>
      </c>
      <c r="H83" s="4">
        <v>10</v>
      </c>
      <c r="I83" s="4">
        <v>10</v>
      </c>
      <c r="J83" s="4">
        <v>44</v>
      </c>
      <c r="K83" s="4">
        <v>1680.31</v>
      </c>
      <c r="L83" s="4">
        <v>90736.74</v>
      </c>
      <c r="M83" s="4">
        <v>0</v>
      </c>
      <c r="N83" s="4">
        <v>16803.099999999999</v>
      </c>
      <c r="O83" s="4">
        <v>16803.099999999999</v>
      </c>
      <c r="P83" s="6">
        <f t="shared" si="1"/>
        <v>73933.64</v>
      </c>
    </row>
    <row r="84" spans="1:16" ht="18.75" outlineLevel="2" x14ac:dyDescent="0.2">
      <c r="A84" s="2">
        <v>60114</v>
      </c>
      <c r="B84" s="1"/>
      <c r="C84" s="2">
        <v>925315</v>
      </c>
      <c r="D84" s="3" t="s">
        <v>111</v>
      </c>
      <c r="E84" s="5" t="s">
        <v>20</v>
      </c>
      <c r="F84" s="4">
        <v>1</v>
      </c>
      <c r="G84" s="4">
        <v>0</v>
      </c>
      <c r="H84" s="4">
        <v>0</v>
      </c>
      <c r="I84" s="4">
        <v>0</v>
      </c>
      <c r="J84" s="4">
        <v>1</v>
      </c>
      <c r="K84" s="4">
        <v>732.89</v>
      </c>
      <c r="L84" s="4">
        <v>732.89</v>
      </c>
      <c r="M84" s="4">
        <v>0</v>
      </c>
      <c r="N84" s="4">
        <v>0</v>
      </c>
      <c r="O84" s="4">
        <v>0</v>
      </c>
      <c r="P84" s="6">
        <f t="shared" si="1"/>
        <v>732.89</v>
      </c>
    </row>
    <row r="85" spans="1:16" ht="27.75" outlineLevel="2" x14ac:dyDescent="0.2">
      <c r="A85" s="2">
        <v>60115</v>
      </c>
      <c r="B85" s="1"/>
      <c r="C85" s="2">
        <v>920808</v>
      </c>
      <c r="D85" s="3" t="s">
        <v>112</v>
      </c>
      <c r="E85" s="5" t="s">
        <v>10</v>
      </c>
      <c r="F85" s="4">
        <v>22.5</v>
      </c>
      <c r="G85" s="4">
        <v>0</v>
      </c>
      <c r="H85" s="4">
        <v>0</v>
      </c>
      <c r="I85" s="4">
        <v>0</v>
      </c>
      <c r="J85" s="4">
        <v>22.5</v>
      </c>
      <c r="K85" s="4">
        <v>15.21</v>
      </c>
      <c r="L85" s="4">
        <v>342.22</v>
      </c>
      <c r="M85" s="4">
        <v>0</v>
      </c>
      <c r="N85" s="4">
        <v>0</v>
      </c>
      <c r="O85" s="4">
        <v>0</v>
      </c>
      <c r="P85" s="6">
        <f t="shared" si="1"/>
        <v>342.22500000000002</v>
      </c>
    </row>
    <row r="86" spans="1:16" ht="18.75" outlineLevel="2" x14ac:dyDescent="0.2">
      <c r="A86" s="2">
        <v>60116</v>
      </c>
      <c r="B86" s="1"/>
      <c r="C86" s="2">
        <v>925316</v>
      </c>
      <c r="D86" s="3" t="s">
        <v>113</v>
      </c>
      <c r="E86" s="5" t="s">
        <v>20</v>
      </c>
      <c r="F86" s="4">
        <v>1</v>
      </c>
      <c r="G86" s="4">
        <v>0</v>
      </c>
      <c r="H86" s="4">
        <v>0</v>
      </c>
      <c r="I86" s="4">
        <v>0</v>
      </c>
      <c r="J86" s="4">
        <v>1</v>
      </c>
      <c r="K86" s="4">
        <v>4291.42</v>
      </c>
      <c r="L86" s="4">
        <v>4291.42</v>
      </c>
      <c r="M86" s="4">
        <v>0</v>
      </c>
      <c r="N86" s="4">
        <v>0</v>
      </c>
      <c r="O86" s="4">
        <v>0</v>
      </c>
      <c r="P86" s="6">
        <f t="shared" si="1"/>
        <v>4291.42</v>
      </c>
    </row>
    <row r="87" spans="1:16" ht="18.75" outlineLevel="2" x14ac:dyDescent="0.2">
      <c r="A87" s="2">
        <v>60117</v>
      </c>
      <c r="B87" s="1"/>
      <c r="C87" s="2">
        <v>925318</v>
      </c>
      <c r="D87" s="3" t="s">
        <v>114</v>
      </c>
      <c r="E87" s="5" t="s">
        <v>10</v>
      </c>
      <c r="F87" s="4">
        <v>207.59</v>
      </c>
      <c r="G87" s="4">
        <v>0</v>
      </c>
      <c r="H87" s="4">
        <v>0</v>
      </c>
      <c r="I87" s="4">
        <v>0</v>
      </c>
      <c r="J87" s="4">
        <v>207.59</v>
      </c>
      <c r="K87" s="4">
        <v>170.55</v>
      </c>
      <c r="L87" s="4">
        <v>35404.47</v>
      </c>
      <c r="M87" s="4">
        <v>0</v>
      </c>
      <c r="N87" s="4">
        <v>0</v>
      </c>
      <c r="O87" s="4">
        <v>0</v>
      </c>
      <c r="P87" s="6">
        <f t="shared" si="1"/>
        <v>35404.474500000004</v>
      </c>
    </row>
    <row r="88" spans="1:16" outlineLevel="2" x14ac:dyDescent="0.2">
      <c r="A88" s="2">
        <v>60118</v>
      </c>
      <c r="B88" s="1"/>
      <c r="C88" s="2">
        <v>925317</v>
      </c>
      <c r="D88" s="3" t="s">
        <v>115</v>
      </c>
      <c r="E88" s="5" t="s">
        <v>10</v>
      </c>
      <c r="F88" s="4">
        <v>4.2</v>
      </c>
      <c r="G88" s="4">
        <v>0</v>
      </c>
      <c r="H88" s="4">
        <v>0</v>
      </c>
      <c r="I88" s="4">
        <v>0</v>
      </c>
      <c r="J88" s="4">
        <v>4.2</v>
      </c>
      <c r="K88" s="4">
        <v>25.45</v>
      </c>
      <c r="L88" s="4">
        <v>106.89</v>
      </c>
      <c r="M88" s="4">
        <v>0</v>
      </c>
      <c r="N88" s="4">
        <v>0</v>
      </c>
      <c r="O88" s="4">
        <v>0</v>
      </c>
      <c r="P88" s="6">
        <f t="shared" si="1"/>
        <v>106.89</v>
      </c>
    </row>
    <row r="89" spans="1:16" x14ac:dyDescent="0.2">
      <c r="A89" s="1"/>
      <c r="B89" s="1"/>
      <c r="C89" s="1"/>
      <c r="D89" s="9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6">
        <f t="shared" si="1"/>
        <v>0</v>
      </c>
    </row>
    <row r="90" spans="1:16" x14ac:dyDescent="0.2">
      <c r="A90" s="1"/>
      <c r="B90" s="1"/>
      <c r="C90" s="1"/>
      <c r="D90" s="9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6">
        <f t="shared" si="1"/>
        <v>0</v>
      </c>
    </row>
    <row r="91" spans="1:16" ht="18.75" outlineLevel="2" x14ac:dyDescent="0.2">
      <c r="A91" s="2">
        <v>70100</v>
      </c>
      <c r="B91" s="1"/>
      <c r="C91" s="2">
        <v>925488</v>
      </c>
      <c r="D91" s="7" t="s">
        <v>21</v>
      </c>
      <c r="E91" s="1"/>
      <c r="F91" s="4" t="s">
        <v>9</v>
      </c>
      <c r="G91" s="4">
        <v>0</v>
      </c>
      <c r="H91" s="4">
        <v>0</v>
      </c>
      <c r="I91" s="4">
        <v>0</v>
      </c>
      <c r="J91" s="4">
        <v>0</v>
      </c>
      <c r="K91" s="4" t="s">
        <v>9</v>
      </c>
      <c r="L91" s="4" t="s">
        <v>9</v>
      </c>
      <c r="M91" s="4">
        <v>0</v>
      </c>
      <c r="N91" s="4">
        <v>0</v>
      </c>
      <c r="O91" s="4">
        <v>0</v>
      </c>
      <c r="P91" s="6">
        <f t="shared" si="1"/>
        <v>0</v>
      </c>
    </row>
    <row r="92" spans="1:16" ht="45.75" outlineLevel="2" x14ac:dyDescent="0.2">
      <c r="A92" s="2">
        <v>70101</v>
      </c>
      <c r="B92" s="1"/>
      <c r="C92" s="2">
        <v>921936</v>
      </c>
      <c r="D92" s="3" t="s">
        <v>116</v>
      </c>
      <c r="E92" s="5" t="s">
        <v>10</v>
      </c>
      <c r="F92" s="4">
        <v>1656.94</v>
      </c>
      <c r="G92" s="4">
        <v>0</v>
      </c>
      <c r="H92" s="4">
        <v>1656.94</v>
      </c>
      <c r="I92" s="4">
        <v>1656.94</v>
      </c>
      <c r="J92" s="4">
        <v>0</v>
      </c>
      <c r="K92" s="4">
        <v>59.48</v>
      </c>
      <c r="L92" s="4">
        <v>98554.79</v>
      </c>
      <c r="M92" s="4">
        <v>0</v>
      </c>
      <c r="N92" s="4">
        <v>98554.79</v>
      </c>
      <c r="O92" s="4">
        <v>98554.79</v>
      </c>
      <c r="P92" s="6">
        <f t="shared" si="1"/>
        <v>0</v>
      </c>
    </row>
    <row r="93" spans="1:16" ht="27.75" outlineLevel="2" x14ac:dyDescent="0.2">
      <c r="A93" s="2">
        <v>70102</v>
      </c>
      <c r="B93" s="1"/>
      <c r="C93" s="2">
        <v>920783</v>
      </c>
      <c r="D93" s="3" t="s">
        <v>117</v>
      </c>
      <c r="E93" s="5" t="s">
        <v>10</v>
      </c>
      <c r="F93" s="4">
        <v>83.14</v>
      </c>
      <c r="G93" s="4">
        <v>0</v>
      </c>
      <c r="H93" s="4">
        <v>0</v>
      </c>
      <c r="I93" s="4">
        <v>0</v>
      </c>
      <c r="J93" s="4">
        <v>83.14</v>
      </c>
      <c r="K93" s="4">
        <v>107.44</v>
      </c>
      <c r="L93" s="4">
        <v>8932.56</v>
      </c>
      <c r="M93" s="4">
        <v>0</v>
      </c>
      <c r="N93" s="4">
        <v>0</v>
      </c>
      <c r="O93" s="4">
        <v>0</v>
      </c>
      <c r="P93" s="6">
        <f t="shared" si="1"/>
        <v>8932.5615999999991</v>
      </c>
    </row>
    <row r="94" spans="1:16" x14ac:dyDescent="0.2">
      <c r="A94" s="1"/>
      <c r="B94" s="1"/>
      <c r="C94" s="1"/>
      <c r="D94" s="9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6">
        <f t="shared" si="1"/>
        <v>0</v>
      </c>
    </row>
    <row r="95" spans="1:16" x14ac:dyDescent="0.2">
      <c r="A95" s="1"/>
      <c r="B95" s="1"/>
      <c r="C95" s="1"/>
      <c r="D95" s="9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6">
        <f t="shared" si="1"/>
        <v>0</v>
      </c>
    </row>
    <row r="96" spans="1:16" outlineLevel="2" x14ac:dyDescent="0.2">
      <c r="A96" s="2">
        <v>80100</v>
      </c>
      <c r="B96" s="1"/>
      <c r="C96" s="2">
        <v>925319</v>
      </c>
      <c r="D96" s="7" t="s">
        <v>118</v>
      </c>
      <c r="E96" s="1"/>
      <c r="F96" s="4" t="s">
        <v>9</v>
      </c>
      <c r="G96" s="4">
        <v>0</v>
      </c>
      <c r="H96" s="4">
        <v>0</v>
      </c>
      <c r="I96" s="4">
        <v>0</v>
      </c>
      <c r="J96" s="4">
        <v>0</v>
      </c>
      <c r="K96" s="4" t="s">
        <v>9</v>
      </c>
      <c r="L96" s="4" t="s">
        <v>9</v>
      </c>
      <c r="M96" s="4">
        <v>0</v>
      </c>
      <c r="N96" s="4">
        <v>0</v>
      </c>
      <c r="O96" s="4">
        <v>0</v>
      </c>
      <c r="P96" s="6">
        <f t="shared" si="1"/>
        <v>0</v>
      </c>
    </row>
    <row r="97" spans="1:16" ht="18.75" outlineLevel="2" x14ac:dyDescent="0.2">
      <c r="A97" s="2">
        <v>80101</v>
      </c>
      <c r="B97" s="1"/>
      <c r="C97" s="2">
        <v>925320</v>
      </c>
      <c r="D97" s="3" t="s">
        <v>119</v>
      </c>
      <c r="E97" s="5" t="s">
        <v>10</v>
      </c>
      <c r="F97" s="4">
        <v>2227.4499999999998</v>
      </c>
      <c r="G97" s="4">
        <v>0</v>
      </c>
      <c r="H97" s="4">
        <v>2227.4499999999998</v>
      </c>
      <c r="I97" s="4">
        <v>2227.4499999999998</v>
      </c>
      <c r="J97" s="4">
        <v>0</v>
      </c>
      <c r="K97" s="4">
        <v>20.79</v>
      </c>
      <c r="L97" s="4">
        <v>46308.68</v>
      </c>
      <c r="M97" s="4">
        <v>0</v>
      </c>
      <c r="N97" s="4">
        <v>46308.68</v>
      </c>
      <c r="O97" s="4">
        <v>46308.68</v>
      </c>
      <c r="P97" s="6">
        <f t="shared" si="1"/>
        <v>0</v>
      </c>
    </row>
    <row r="98" spans="1:16" ht="18.75" outlineLevel="2" x14ac:dyDescent="0.2">
      <c r="A98" s="2">
        <v>80102</v>
      </c>
      <c r="B98" s="1"/>
      <c r="C98" s="2">
        <v>924607</v>
      </c>
      <c r="D98" s="3" t="s">
        <v>120</v>
      </c>
      <c r="E98" s="5" t="s">
        <v>10</v>
      </c>
      <c r="F98" s="4">
        <v>2227.4499999999998</v>
      </c>
      <c r="G98" s="4">
        <v>478.7</v>
      </c>
      <c r="H98" s="4">
        <v>760.72</v>
      </c>
      <c r="I98" s="4">
        <v>1239.42</v>
      </c>
      <c r="J98" s="4">
        <v>988.03</v>
      </c>
      <c r="K98" s="4">
        <v>19.39</v>
      </c>
      <c r="L98" s="4">
        <v>43190.25</v>
      </c>
      <c r="M98" s="4">
        <v>9281.99</v>
      </c>
      <c r="N98" s="4">
        <v>14750.35</v>
      </c>
      <c r="O98" s="4">
        <v>24032.34</v>
      </c>
      <c r="P98" s="6">
        <f t="shared" si="1"/>
        <v>19157.901699999999</v>
      </c>
    </row>
    <row r="99" spans="1:16" ht="18.75" outlineLevel="2" x14ac:dyDescent="0.2">
      <c r="A99" s="2">
        <v>80103</v>
      </c>
      <c r="B99" s="1"/>
      <c r="C99" s="2">
        <v>920825</v>
      </c>
      <c r="D99" s="3" t="s">
        <v>121</v>
      </c>
      <c r="E99" s="5" t="s">
        <v>10</v>
      </c>
      <c r="F99" s="4">
        <v>1888.15</v>
      </c>
      <c r="G99" s="4">
        <v>0</v>
      </c>
      <c r="H99" s="4">
        <v>760.72</v>
      </c>
      <c r="I99" s="4">
        <v>760.72</v>
      </c>
      <c r="J99" s="4">
        <v>1127.43</v>
      </c>
      <c r="K99" s="4">
        <v>8.16</v>
      </c>
      <c r="L99" s="4">
        <v>15407.3</v>
      </c>
      <c r="M99" s="4">
        <v>0</v>
      </c>
      <c r="N99" s="4">
        <v>6207.47</v>
      </c>
      <c r="O99" s="4">
        <v>6207.47</v>
      </c>
      <c r="P99" s="6">
        <f t="shared" si="1"/>
        <v>9199.8288000000011</v>
      </c>
    </row>
    <row r="100" spans="1:16" ht="27.75" outlineLevel="2" x14ac:dyDescent="0.2">
      <c r="A100" s="2">
        <v>80104</v>
      </c>
      <c r="B100" s="1"/>
      <c r="C100" s="2">
        <v>921961</v>
      </c>
      <c r="D100" s="3" t="s">
        <v>122</v>
      </c>
      <c r="E100" s="5" t="s">
        <v>10</v>
      </c>
      <c r="F100" s="4">
        <v>242.22</v>
      </c>
      <c r="G100" s="4">
        <v>0</v>
      </c>
      <c r="H100" s="4">
        <v>0</v>
      </c>
      <c r="I100" s="4">
        <v>0</v>
      </c>
      <c r="J100" s="4">
        <v>242.22</v>
      </c>
      <c r="K100" s="4">
        <v>34.4</v>
      </c>
      <c r="L100" s="4">
        <v>8332.36</v>
      </c>
      <c r="M100" s="4">
        <v>0</v>
      </c>
      <c r="N100" s="4">
        <v>0</v>
      </c>
      <c r="O100" s="4">
        <v>0</v>
      </c>
      <c r="P100" s="6">
        <f t="shared" si="1"/>
        <v>8332.3680000000004</v>
      </c>
    </row>
    <row r="101" spans="1:16" ht="18.75" outlineLevel="2" x14ac:dyDescent="0.2">
      <c r="A101" s="2">
        <v>80105</v>
      </c>
      <c r="B101" s="1"/>
      <c r="C101" s="2">
        <v>924572</v>
      </c>
      <c r="D101" s="3" t="s">
        <v>123</v>
      </c>
      <c r="E101" s="5" t="s">
        <v>10</v>
      </c>
      <c r="F101" s="4">
        <v>1985.23</v>
      </c>
      <c r="G101" s="4">
        <v>560.58000000000004</v>
      </c>
      <c r="H101" s="4">
        <v>315.48</v>
      </c>
      <c r="I101" s="4">
        <v>876.06</v>
      </c>
      <c r="J101" s="4">
        <v>1109.17</v>
      </c>
      <c r="K101" s="4">
        <v>108.28</v>
      </c>
      <c r="L101" s="4">
        <v>214960.7</v>
      </c>
      <c r="M101" s="4">
        <v>60699.6</v>
      </c>
      <c r="N101" s="4">
        <v>34160.17</v>
      </c>
      <c r="O101" s="4">
        <v>94859.77</v>
      </c>
      <c r="P101" s="6">
        <f t="shared" si="1"/>
        <v>120100.92760000001</v>
      </c>
    </row>
    <row r="102" spans="1:16" ht="36.75" outlineLevel="2" x14ac:dyDescent="0.2">
      <c r="A102" s="2">
        <v>80106</v>
      </c>
      <c r="B102" s="1"/>
      <c r="C102" s="2">
        <v>922422</v>
      </c>
      <c r="D102" s="3" t="s">
        <v>124</v>
      </c>
      <c r="E102" s="5" t="s">
        <v>10</v>
      </c>
      <c r="F102" s="4">
        <v>2030.95</v>
      </c>
      <c r="G102" s="4">
        <v>0</v>
      </c>
      <c r="H102" s="4">
        <v>2030.95</v>
      </c>
      <c r="I102" s="4">
        <v>2030.95</v>
      </c>
      <c r="J102" s="4">
        <v>0</v>
      </c>
      <c r="K102" s="4">
        <v>2.69</v>
      </c>
      <c r="L102" s="4">
        <v>5463.25</v>
      </c>
      <c r="M102" s="4">
        <v>0</v>
      </c>
      <c r="N102" s="4">
        <v>5463.25</v>
      </c>
      <c r="O102" s="4">
        <v>5463.25</v>
      </c>
      <c r="P102" s="6">
        <f t="shared" si="1"/>
        <v>0</v>
      </c>
    </row>
    <row r="103" spans="1:16" ht="54.75" outlineLevel="2" x14ac:dyDescent="0.2">
      <c r="A103" s="2">
        <v>80107</v>
      </c>
      <c r="B103" s="1"/>
      <c r="C103" s="2">
        <v>924602</v>
      </c>
      <c r="D103" s="3" t="s">
        <v>125</v>
      </c>
      <c r="E103" s="5" t="s">
        <v>10</v>
      </c>
      <c r="F103" s="4">
        <v>917.63</v>
      </c>
      <c r="G103" s="4">
        <v>381.21</v>
      </c>
      <c r="H103" s="4">
        <v>536.41999999999996</v>
      </c>
      <c r="I103" s="4">
        <v>917.63</v>
      </c>
      <c r="J103" s="4">
        <v>0</v>
      </c>
      <c r="K103" s="4">
        <v>28.09</v>
      </c>
      <c r="L103" s="4">
        <v>25776.22</v>
      </c>
      <c r="M103" s="4">
        <v>10708.19</v>
      </c>
      <c r="N103" s="4">
        <v>15068.03</v>
      </c>
      <c r="O103" s="4">
        <v>25776.22</v>
      </c>
      <c r="P103" s="6">
        <f t="shared" si="1"/>
        <v>0</v>
      </c>
    </row>
    <row r="104" spans="1:16" ht="45.75" outlineLevel="2" x14ac:dyDescent="0.2">
      <c r="A104" s="2">
        <v>80108</v>
      </c>
      <c r="B104" s="1"/>
      <c r="C104" s="2">
        <v>922110</v>
      </c>
      <c r="D104" s="3" t="s">
        <v>126</v>
      </c>
      <c r="E104" s="5" t="s">
        <v>10</v>
      </c>
      <c r="F104" s="4">
        <v>1506.01</v>
      </c>
      <c r="G104" s="4">
        <v>0</v>
      </c>
      <c r="H104" s="4">
        <v>1506.01</v>
      </c>
      <c r="I104" s="4">
        <v>1506.01</v>
      </c>
      <c r="J104" s="4">
        <v>0</v>
      </c>
      <c r="K104" s="4">
        <v>25.65</v>
      </c>
      <c r="L104" s="4">
        <v>38629.15</v>
      </c>
      <c r="M104" s="4">
        <v>0</v>
      </c>
      <c r="N104" s="4">
        <v>38629.15</v>
      </c>
      <c r="O104" s="4">
        <v>38629.15</v>
      </c>
      <c r="P104" s="6">
        <f t="shared" si="1"/>
        <v>0</v>
      </c>
    </row>
    <row r="105" spans="1:16" ht="18.75" outlineLevel="2" x14ac:dyDescent="0.2">
      <c r="A105" s="2">
        <v>80109</v>
      </c>
      <c r="B105" s="1"/>
      <c r="C105" s="2">
        <v>921974</v>
      </c>
      <c r="D105" s="3" t="s">
        <v>127</v>
      </c>
      <c r="E105" s="5" t="s">
        <v>10</v>
      </c>
      <c r="F105" s="4">
        <v>1506.01</v>
      </c>
      <c r="G105" s="4">
        <v>0</v>
      </c>
      <c r="H105" s="4">
        <v>0</v>
      </c>
      <c r="I105" s="4">
        <v>0</v>
      </c>
      <c r="J105" s="4">
        <v>1506.01</v>
      </c>
      <c r="K105" s="4">
        <v>1.85</v>
      </c>
      <c r="L105" s="4">
        <v>2786.11</v>
      </c>
      <c r="M105" s="4">
        <v>0</v>
      </c>
      <c r="N105" s="4">
        <v>0</v>
      </c>
      <c r="O105" s="4">
        <v>0</v>
      </c>
      <c r="P105" s="6">
        <f t="shared" si="1"/>
        <v>2786.1185</v>
      </c>
    </row>
    <row r="106" spans="1:16" ht="18.75" outlineLevel="2" x14ac:dyDescent="0.2">
      <c r="A106" s="2">
        <v>80110</v>
      </c>
      <c r="B106" s="1"/>
      <c r="C106" s="2">
        <v>922117</v>
      </c>
      <c r="D106" s="3" t="s">
        <v>128</v>
      </c>
      <c r="E106" s="5" t="s">
        <v>10</v>
      </c>
      <c r="F106" s="4">
        <v>1506.01</v>
      </c>
      <c r="G106" s="4">
        <v>0</v>
      </c>
      <c r="H106" s="4">
        <v>0</v>
      </c>
      <c r="I106" s="4">
        <v>0</v>
      </c>
      <c r="J106" s="4">
        <v>1506.01</v>
      </c>
      <c r="K106" s="4">
        <v>10.46</v>
      </c>
      <c r="L106" s="4">
        <v>15752.86</v>
      </c>
      <c r="M106" s="4">
        <v>0</v>
      </c>
      <c r="N106" s="4">
        <v>0</v>
      </c>
      <c r="O106" s="4">
        <v>0</v>
      </c>
      <c r="P106" s="6">
        <f t="shared" si="1"/>
        <v>15752.864600000001</v>
      </c>
    </row>
    <row r="107" spans="1:16" ht="36.75" outlineLevel="2" x14ac:dyDescent="0.2">
      <c r="A107" s="2">
        <v>80111</v>
      </c>
      <c r="B107" s="1"/>
      <c r="C107" s="2">
        <v>924672</v>
      </c>
      <c r="D107" s="3" t="s">
        <v>129</v>
      </c>
      <c r="E107" s="5" t="s">
        <v>10</v>
      </c>
      <c r="F107" s="4">
        <v>672.28</v>
      </c>
      <c r="G107" s="4">
        <v>0</v>
      </c>
      <c r="H107" s="4">
        <v>0</v>
      </c>
      <c r="I107" s="4">
        <v>0</v>
      </c>
      <c r="J107" s="4">
        <v>672.28</v>
      </c>
      <c r="K107" s="4">
        <v>44.77</v>
      </c>
      <c r="L107" s="4">
        <v>30097.97</v>
      </c>
      <c r="M107" s="4">
        <v>0</v>
      </c>
      <c r="N107" s="4">
        <v>0</v>
      </c>
      <c r="O107" s="4">
        <v>0</v>
      </c>
      <c r="P107" s="6">
        <f t="shared" si="1"/>
        <v>30097.975600000002</v>
      </c>
    </row>
    <row r="108" spans="1:16" ht="36.75" outlineLevel="2" x14ac:dyDescent="0.2">
      <c r="A108" s="2">
        <v>80112</v>
      </c>
      <c r="B108" s="1"/>
      <c r="C108" s="2">
        <v>925321</v>
      </c>
      <c r="D108" s="3" t="s">
        <v>130</v>
      </c>
      <c r="E108" s="5" t="s">
        <v>10</v>
      </c>
      <c r="F108" s="4">
        <v>404.95</v>
      </c>
      <c r="G108" s="4">
        <v>0</v>
      </c>
      <c r="H108" s="4">
        <v>0</v>
      </c>
      <c r="I108" s="4">
        <v>0</v>
      </c>
      <c r="J108" s="4">
        <v>404.95</v>
      </c>
      <c r="K108" s="4">
        <v>119.41</v>
      </c>
      <c r="L108" s="4">
        <v>48355.07</v>
      </c>
      <c r="M108" s="4">
        <v>0</v>
      </c>
      <c r="N108" s="4">
        <v>0</v>
      </c>
      <c r="O108" s="4">
        <v>0</v>
      </c>
      <c r="P108" s="6">
        <f t="shared" si="1"/>
        <v>48355.0795</v>
      </c>
    </row>
    <row r="109" spans="1:16" ht="18.75" outlineLevel="2" x14ac:dyDescent="0.2">
      <c r="A109" s="2">
        <v>80113</v>
      </c>
      <c r="B109" s="1"/>
      <c r="C109" s="2">
        <v>925322</v>
      </c>
      <c r="D109" s="3" t="s">
        <v>131</v>
      </c>
      <c r="E109" s="5" t="s">
        <v>15</v>
      </c>
      <c r="F109" s="4">
        <v>462.5</v>
      </c>
      <c r="G109" s="4">
        <v>0</v>
      </c>
      <c r="H109" s="4">
        <v>0</v>
      </c>
      <c r="I109" s="4">
        <v>0</v>
      </c>
      <c r="J109" s="4">
        <v>462.5</v>
      </c>
      <c r="K109" s="4">
        <v>24.24</v>
      </c>
      <c r="L109" s="4">
        <v>11211</v>
      </c>
      <c r="M109" s="4">
        <v>0</v>
      </c>
      <c r="N109" s="4">
        <v>0</v>
      </c>
      <c r="O109" s="4">
        <v>0</v>
      </c>
      <c r="P109" s="6">
        <f t="shared" si="1"/>
        <v>11211</v>
      </c>
    </row>
    <row r="110" spans="1:16" outlineLevel="2" x14ac:dyDescent="0.2">
      <c r="A110" s="2">
        <v>80114</v>
      </c>
      <c r="B110" s="1"/>
      <c r="C110" s="2">
        <v>925323</v>
      </c>
      <c r="D110" s="3" t="s">
        <v>132</v>
      </c>
      <c r="E110" s="5" t="s">
        <v>15</v>
      </c>
      <c r="F110" s="4">
        <v>150.28</v>
      </c>
      <c r="G110" s="4">
        <v>0</v>
      </c>
      <c r="H110" s="4">
        <v>0</v>
      </c>
      <c r="I110" s="4">
        <v>0</v>
      </c>
      <c r="J110" s="4">
        <v>150.28</v>
      </c>
      <c r="K110" s="4">
        <v>21.51</v>
      </c>
      <c r="L110" s="4">
        <v>3232.52</v>
      </c>
      <c r="M110" s="4">
        <v>0</v>
      </c>
      <c r="N110" s="4">
        <v>0</v>
      </c>
      <c r="O110" s="4">
        <v>0</v>
      </c>
      <c r="P110" s="6">
        <f t="shared" si="1"/>
        <v>3232.5228000000002</v>
      </c>
    </row>
    <row r="111" spans="1:16" ht="18.75" outlineLevel="2" x14ac:dyDescent="0.2">
      <c r="A111" s="2">
        <v>80115</v>
      </c>
      <c r="B111" s="1"/>
      <c r="C111" s="2">
        <v>925324</v>
      </c>
      <c r="D111" s="3" t="s">
        <v>133</v>
      </c>
      <c r="E111" s="5" t="s">
        <v>10</v>
      </c>
      <c r="F111" s="4">
        <v>1421.89</v>
      </c>
      <c r="G111" s="4">
        <v>0</v>
      </c>
      <c r="H111" s="4">
        <v>0</v>
      </c>
      <c r="I111" s="4">
        <v>0</v>
      </c>
      <c r="J111" s="4">
        <v>1421.89</v>
      </c>
      <c r="K111" s="4">
        <v>13.95</v>
      </c>
      <c r="L111" s="4">
        <v>19835.36</v>
      </c>
      <c r="M111" s="4">
        <v>0</v>
      </c>
      <c r="N111" s="4">
        <v>0</v>
      </c>
      <c r="O111" s="4">
        <v>0</v>
      </c>
      <c r="P111" s="6">
        <f t="shared" si="1"/>
        <v>19835.3655</v>
      </c>
    </row>
    <row r="112" spans="1:16" ht="18.75" outlineLevel="2" x14ac:dyDescent="0.2">
      <c r="A112" s="2">
        <v>80116</v>
      </c>
      <c r="B112" s="1"/>
      <c r="C112" s="2">
        <v>920848</v>
      </c>
      <c r="D112" s="3" t="s">
        <v>134</v>
      </c>
      <c r="E112" s="5" t="s">
        <v>10</v>
      </c>
      <c r="F112" s="4">
        <v>1421.89</v>
      </c>
      <c r="G112" s="4">
        <v>0</v>
      </c>
      <c r="H112" s="4">
        <v>0</v>
      </c>
      <c r="I112" s="4">
        <v>0</v>
      </c>
      <c r="J112" s="4">
        <v>1421.89</v>
      </c>
      <c r="K112" s="4">
        <v>2.72</v>
      </c>
      <c r="L112" s="4">
        <v>3867.54</v>
      </c>
      <c r="M112" s="4">
        <v>0</v>
      </c>
      <c r="N112" s="4">
        <v>0</v>
      </c>
      <c r="O112" s="4">
        <v>0</v>
      </c>
      <c r="P112" s="6">
        <f t="shared" si="1"/>
        <v>3867.5408000000007</v>
      </c>
    </row>
    <row r="113" spans="1:16" ht="18.75" outlineLevel="2" x14ac:dyDescent="0.2">
      <c r="A113" s="2">
        <v>80117</v>
      </c>
      <c r="B113" s="1"/>
      <c r="C113" s="2">
        <v>950611</v>
      </c>
      <c r="D113" s="3" t="s">
        <v>135</v>
      </c>
      <c r="E113" s="5" t="s">
        <v>10</v>
      </c>
      <c r="F113" s="4">
        <v>1421.89</v>
      </c>
      <c r="G113" s="4">
        <v>0</v>
      </c>
      <c r="H113" s="4">
        <v>0</v>
      </c>
      <c r="I113" s="4">
        <v>0</v>
      </c>
      <c r="J113" s="4">
        <v>1421.89</v>
      </c>
      <c r="K113" s="4">
        <v>9.2100000000000009</v>
      </c>
      <c r="L113" s="4">
        <v>13095.6</v>
      </c>
      <c r="M113" s="4">
        <v>0</v>
      </c>
      <c r="N113" s="4">
        <v>0</v>
      </c>
      <c r="O113" s="4">
        <v>0</v>
      </c>
      <c r="P113" s="6">
        <f t="shared" si="1"/>
        <v>13095.606900000002</v>
      </c>
    </row>
    <row r="114" spans="1:16" ht="18.75" outlineLevel="2" x14ac:dyDescent="0.2">
      <c r="A114" s="2">
        <v>80118</v>
      </c>
      <c r="B114" s="1"/>
      <c r="C114" s="2">
        <v>925325</v>
      </c>
      <c r="D114" s="3" t="s">
        <v>136</v>
      </c>
      <c r="E114" s="5" t="s">
        <v>15</v>
      </c>
      <c r="F114" s="4">
        <v>257.75</v>
      </c>
      <c r="G114" s="4">
        <v>0</v>
      </c>
      <c r="H114" s="4">
        <v>0</v>
      </c>
      <c r="I114" s="4">
        <v>0</v>
      </c>
      <c r="J114" s="4">
        <v>257.75</v>
      </c>
      <c r="K114" s="4">
        <v>50.76</v>
      </c>
      <c r="L114" s="4">
        <v>13083.39</v>
      </c>
      <c r="M114" s="4">
        <v>0</v>
      </c>
      <c r="N114" s="4">
        <v>0</v>
      </c>
      <c r="O114" s="4">
        <v>0</v>
      </c>
      <c r="P114" s="6">
        <f t="shared" si="1"/>
        <v>13083.39</v>
      </c>
    </row>
    <row r="115" spans="1:16" x14ac:dyDescent="0.2">
      <c r="A115" s="1"/>
      <c r="B115" s="1"/>
      <c r="C115" s="1"/>
      <c r="D115" s="9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6">
        <f t="shared" si="1"/>
        <v>0</v>
      </c>
    </row>
    <row r="116" spans="1:16" x14ac:dyDescent="0.2">
      <c r="A116" s="1"/>
      <c r="B116" s="1"/>
      <c r="C116" s="1"/>
      <c r="D116" s="9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6">
        <f t="shared" si="1"/>
        <v>0</v>
      </c>
    </row>
    <row r="117" spans="1:16" outlineLevel="2" x14ac:dyDescent="0.2">
      <c r="A117" s="2">
        <v>90100</v>
      </c>
      <c r="B117" s="1"/>
      <c r="C117" s="2">
        <v>925326</v>
      </c>
      <c r="D117" s="7" t="s">
        <v>137</v>
      </c>
      <c r="E117" s="1"/>
      <c r="F117" s="4" t="s">
        <v>9</v>
      </c>
      <c r="G117" s="4">
        <v>0</v>
      </c>
      <c r="H117" s="4">
        <v>0</v>
      </c>
      <c r="I117" s="4">
        <v>0</v>
      </c>
      <c r="J117" s="4">
        <v>0</v>
      </c>
      <c r="K117" s="4" t="s">
        <v>9</v>
      </c>
      <c r="L117" s="4" t="s">
        <v>9</v>
      </c>
      <c r="M117" s="4">
        <v>0</v>
      </c>
      <c r="N117" s="4">
        <v>0</v>
      </c>
      <c r="O117" s="4">
        <v>0</v>
      </c>
      <c r="P117" s="6">
        <f t="shared" si="1"/>
        <v>0</v>
      </c>
    </row>
    <row r="118" spans="1:16" ht="36.75" outlineLevel="2" x14ac:dyDescent="0.2">
      <c r="A118" s="2">
        <v>90101</v>
      </c>
      <c r="B118" s="1"/>
      <c r="C118" s="2">
        <v>924744</v>
      </c>
      <c r="D118" s="3" t="s">
        <v>138</v>
      </c>
      <c r="E118" s="5" t="s">
        <v>10</v>
      </c>
      <c r="F118" s="4">
        <v>1475.93</v>
      </c>
      <c r="G118" s="4">
        <v>0</v>
      </c>
      <c r="H118" s="4">
        <v>1475.93</v>
      </c>
      <c r="I118" s="4">
        <v>1475.93</v>
      </c>
      <c r="J118" s="4">
        <v>0</v>
      </c>
      <c r="K118" s="4">
        <v>5.78</v>
      </c>
      <c r="L118" s="4">
        <v>8530.8700000000008</v>
      </c>
      <c r="M118" s="4">
        <v>0</v>
      </c>
      <c r="N118" s="4">
        <v>8530.8700000000008</v>
      </c>
      <c r="O118" s="4">
        <v>8530.8700000000008</v>
      </c>
      <c r="P118" s="6">
        <f t="shared" si="1"/>
        <v>0</v>
      </c>
    </row>
    <row r="119" spans="1:16" ht="36.75" outlineLevel="2" x14ac:dyDescent="0.2">
      <c r="A119" s="2">
        <v>90102</v>
      </c>
      <c r="B119" s="1"/>
      <c r="C119" s="2">
        <v>925327</v>
      </c>
      <c r="D119" s="3" t="s">
        <v>139</v>
      </c>
      <c r="E119" s="5" t="s">
        <v>10</v>
      </c>
      <c r="F119" s="4">
        <v>1475.93</v>
      </c>
      <c r="G119" s="4">
        <v>548.30999999999995</v>
      </c>
      <c r="H119" s="4">
        <v>927.62</v>
      </c>
      <c r="I119" s="4">
        <v>1475.93</v>
      </c>
      <c r="J119" s="4">
        <v>0</v>
      </c>
      <c r="K119" s="4">
        <v>52.44</v>
      </c>
      <c r="L119" s="4">
        <v>77397.759999999995</v>
      </c>
      <c r="M119" s="4">
        <v>28753.38</v>
      </c>
      <c r="N119" s="4">
        <v>48644.38</v>
      </c>
      <c r="O119" s="4">
        <v>77397.759999999995</v>
      </c>
      <c r="P119" s="6">
        <f t="shared" si="1"/>
        <v>0</v>
      </c>
    </row>
    <row r="120" spans="1:16" ht="18.75" outlineLevel="2" x14ac:dyDescent="0.2">
      <c r="A120" s="2">
        <v>90103</v>
      </c>
      <c r="B120" s="1"/>
      <c r="C120" s="2">
        <v>921974</v>
      </c>
      <c r="D120" s="3" t="s">
        <v>127</v>
      </c>
      <c r="E120" s="5" t="s">
        <v>10</v>
      </c>
      <c r="F120" s="4">
        <v>1475.93</v>
      </c>
      <c r="G120" s="4">
        <v>0</v>
      </c>
      <c r="H120" s="4">
        <v>0</v>
      </c>
      <c r="I120" s="4">
        <v>0</v>
      </c>
      <c r="J120" s="4">
        <v>1475.93</v>
      </c>
      <c r="K120" s="4">
        <v>1.85</v>
      </c>
      <c r="L120" s="4">
        <v>2730.47</v>
      </c>
      <c r="M120" s="4">
        <v>0</v>
      </c>
      <c r="N120" s="4">
        <v>0</v>
      </c>
      <c r="O120" s="4">
        <v>0</v>
      </c>
      <c r="P120" s="6">
        <f t="shared" si="1"/>
        <v>2730.4705000000004</v>
      </c>
    </row>
    <row r="121" spans="1:16" ht="18.75" outlineLevel="2" x14ac:dyDescent="0.2">
      <c r="A121" s="2">
        <v>90104</v>
      </c>
      <c r="B121" s="1"/>
      <c r="C121" s="2">
        <v>922117</v>
      </c>
      <c r="D121" s="3" t="s">
        <v>128</v>
      </c>
      <c r="E121" s="5" t="s">
        <v>10</v>
      </c>
      <c r="F121" s="4">
        <v>1475.93</v>
      </c>
      <c r="G121" s="4">
        <v>0</v>
      </c>
      <c r="H121" s="4">
        <v>0</v>
      </c>
      <c r="I121" s="4">
        <v>0</v>
      </c>
      <c r="J121" s="4">
        <v>1475.93</v>
      </c>
      <c r="K121" s="4">
        <v>10.46</v>
      </c>
      <c r="L121" s="4">
        <v>15438.22</v>
      </c>
      <c r="M121" s="4">
        <v>0</v>
      </c>
      <c r="N121" s="4">
        <v>0</v>
      </c>
      <c r="O121" s="4">
        <v>0</v>
      </c>
      <c r="P121" s="6">
        <f t="shared" si="1"/>
        <v>15438.227800000002</v>
      </c>
    </row>
    <row r="122" spans="1:16" ht="27.75" outlineLevel="2" x14ac:dyDescent="0.2">
      <c r="A122" s="2">
        <v>90105</v>
      </c>
      <c r="B122" s="1"/>
      <c r="C122" s="2">
        <v>925328</v>
      </c>
      <c r="D122" s="3" t="s">
        <v>140</v>
      </c>
      <c r="E122" s="5" t="s">
        <v>15</v>
      </c>
      <c r="F122" s="4">
        <v>150.28</v>
      </c>
      <c r="G122" s="4">
        <v>0</v>
      </c>
      <c r="H122" s="4">
        <v>0</v>
      </c>
      <c r="I122" s="4">
        <v>0</v>
      </c>
      <c r="J122" s="4">
        <v>150.28</v>
      </c>
      <c r="K122" s="4">
        <v>10.96</v>
      </c>
      <c r="L122" s="4">
        <v>1647.06</v>
      </c>
      <c r="M122" s="4">
        <v>0</v>
      </c>
      <c r="N122" s="4">
        <v>0</v>
      </c>
      <c r="O122" s="4">
        <v>0</v>
      </c>
      <c r="P122" s="6">
        <f t="shared" si="1"/>
        <v>1647.0688000000002</v>
      </c>
    </row>
    <row r="123" spans="1:16" ht="18.75" outlineLevel="2" x14ac:dyDescent="0.2">
      <c r="A123" s="2">
        <v>90106</v>
      </c>
      <c r="B123" s="1"/>
      <c r="C123" s="2">
        <v>925329</v>
      </c>
      <c r="D123" s="3" t="s">
        <v>141</v>
      </c>
      <c r="E123" s="5" t="s">
        <v>15</v>
      </c>
      <c r="F123" s="4">
        <v>88.2</v>
      </c>
      <c r="G123" s="4">
        <v>0</v>
      </c>
      <c r="H123" s="4">
        <v>0</v>
      </c>
      <c r="I123" s="4">
        <v>0</v>
      </c>
      <c r="J123" s="4">
        <v>88.2</v>
      </c>
      <c r="K123" s="4">
        <v>258.16000000000003</v>
      </c>
      <c r="L123" s="4">
        <v>22769.71</v>
      </c>
      <c r="M123" s="4">
        <v>0</v>
      </c>
      <c r="N123" s="4">
        <v>0</v>
      </c>
      <c r="O123" s="4">
        <v>0</v>
      </c>
      <c r="P123" s="6">
        <f t="shared" si="1"/>
        <v>22769.712000000003</v>
      </c>
    </row>
    <row r="124" spans="1:16" ht="27.75" outlineLevel="2" x14ac:dyDescent="0.2">
      <c r="A124" s="2">
        <v>90107</v>
      </c>
      <c r="B124" s="1"/>
      <c r="C124" s="2">
        <v>920909</v>
      </c>
      <c r="D124" s="3" t="s">
        <v>142</v>
      </c>
      <c r="E124" s="5" t="s">
        <v>10</v>
      </c>
      <c r="F124" s="4">
        <v>521.12</v>
      </c>
      <c r="G124" s="4">
        <v>129.11000000000001</v>
      </c>
      <c r="H124" s="4">
        <v>312.75</v>
      </c>
      <c r="I124" s="4">
        <v>441.86</v>
      </c>
      <c r="J124" s="4">
        <v>79.260000000000005</v>
      </c>
      <c r="K124" s="4">
        <v>44.94</v>
      </c>
      <c r="L124" s="4">
        <v>23419.13</v>
      </c>
      <c r="M124" s="4">
        <v>5802.2</v>
      </c>
      <c r="N124" s="4">
        <v>14054.98</v>
      </c>
      <c r="O124" s="4">
        <v>19857.18</v>
      </c>
      <c r="P124" s="6">
        <f t="shared" si="1"/>
        <v>3561.9443999999999</v>
      </c>
    </row>
    <row r="125" spans="1:16" ht="18.75" outlineLevel="2" x14ac:dyDescent="0.2">
      <c r="A125" s="2">
        <v>90108</v>
      </c>
      <c r="B125" s="1"/>
      <c r="C125" s="2">
        <v>924572</v>
      </c>
      <c r="D125" s="3" t="s">
        <v>123</v>
      </c>
      <c r="E125" s="5" t="s">
        <v>10</v>
      </c>
      <c r="F125" s="4" t="s">
        <v>9</v>
      </c>
      <c r="G125" s="4">
        <v>0</v>
      </c>
      <c r="H125" s="4">
        <v>0</v>
      </c>
      <c r="I125" s="4">
        <v>0</v>
      </c>
      <c r="J125" s="4">
        <v>0</v>
      </c>
      <c r="K125" s="4">
        <v>108.28</v>
      </c>
      <c r="L125" s="4" t="s">
        <v>9</v>
      </c>
      <c r="M125" s="4">
        <v>0</v>
      </c>
      <c r="N125" s="4">
        <v>0</v>
      </c>
      <c r="O125" s="4">
        <v>0</v>
      </c>
      <c r="P125" s="6">
        <f t="shared" si="1"/>
        <v>0</v>
      </c>
    </row>
    <row r="126" spans="1:16" ht="18.75" outlineLevel="2" x14ac:dyDescent="0.2">
      <c r="A126" s="2">
        <v>90109</v>
      </c>
      <c r="B126" s="1"/>
      <c r="C126" s="2">
        <v>925330</v>
      </c>
      <c r="D126" s="3" t="s">
        <v>143</v>
      </c>
      <c r="E126" s="5" t="s">
        <v>10</v>
      </c>
      <c r="F126" s="4">
        <v>10.74</v>
      </c>
      <c r="G126" s="4">
        <v>0</v>
      </c>
      <c r="H126" s="4">
        <v>0</v>
      </c>
      <c r="I126" s="4">
        <v>0</v>
      </c>
      <c r="J126" s="4">
        <v>10.74</v>
      </c>
      <c r="K126" s="4">
        <v>11.62</v>
      </c>
      <c r="L126" s="4">
        <v>124.79</v>
      </c>
      <c r="M126" s="4">
        <v>0</v>
      </c>
      <c r="N126" s="4">
        <v>0</v>
      </c>
      <c r="O126" s="4">
        <v>0</v>
      </c>
      <c r="P126" s="6">
        <f t="shared" si="1"/>
        <v>124.7988</v>
      </c>
    </row>
    <row r="127" spans="1:16" ht="18.75" outlineLevel="2" x14ac:dyDescent="0.2">
      <c r="A127" s="2">
        <v>90110</v>
      </c>
      <c r="B127" s="1"/>
      <c r="C127" s="2">
        <v>925331</v>
      </c>
      <c r="D127" s="3" t="s">
        <v>144</v>
      </c>
      <c r="E127" s="5" t="s">
        <v>10</v>
      </c>
      <c r="F127" s="4">
        <v>268.45</v>
      </c>
      <c r="G127" s="4">
        <v>0</v>
      </c>
      <c r="H127" s="4">
        <v>71.38</v>
      </c>
      <c r="I127" s="4">
        <v>71.38</v>
      </c>
      <c r="J127" s="4">
        <v>197.07</v>
      </c>
      <c r="K127" s="4">
        <v>19.39</v>
      </c>
      <c r="L127" s="4">
        <v>5205.24</v>
      </c>
      <c r="M127" s="4">
        <v>0</v>
      </c>
      <c r="N127" s="4">
        <v>1384.05</v>
      </c>
      <c r="O127" s="4">
        <v>1384.05</v>
      </c>
      <c r="P127" s="6">
        <f t="shared" si="1"/>
        <v>3821.1873000000001</v>
      </c>
    </row>
    <row r="128" spans="1:16" ht="18.75" outlineLevel="2" x14ac:dyDescent="0.2">
      <c r="A128" s="2">
        <v>90111</v>
      </c>
      <c r="B128" s="1"/>
      <c r="C128" s="2">
        <v>925332</v>
      </c>
      <c r="D128" s="3" t="s">
        <v>145</v>
      </c>
      <c r="E128" s="5" t="s">
        <v>20</v>
      </c>
      <c r="F128" s="4">
        <v>1</v>
      </c>
      <c r="G128" s="4">
        <v>0</v>
      </c>
      <c r="H128" s="4">
        <v>0</v>
      </c>
      <c r="I128" s="4">
        <v>0</v>
      </c>
      <c r="J128" s="4">
        <v>1</v>
      </c>
      <c r="K128" s="4">
        <v>2605.4</v>
      </c>
      <c r="L128" s="4">
        <v>2605.4</v>
      </c>
      <c r="M128" s="4">
        <v>0</v>
      </c>
      <c r="N128" s="4">
        <v>0</v>
      </c>
      <c r="O128" s="4">
        <v>0</v>
      </c>
      <c r="P128" s="6">
        <f t="shared" si="1"/>
        <v>2605.4</v>
      </c>
    </row>
    <row r="129" spans="1:16" ht="27.75" outlineLevel="2" x14ac:dyDescent="0.2">
      <c r="A129" s="2">
        <v>90112</v>
      </c>
      <c r="B129" s="1"/>
      <c r="C129" s="2">
        <v>925333</v>
      </c>
      <c r="D129" s="3" t="s">
        <v>146</v>
      </c>
      <c r="E129" s="5" t="s">
        <v>10</v>
      </c>
      <c r="F129" s="4">
        <v>158.69</v>
      </c>
      <c r="G129" s="4">
        <v>0</v>
      </c>
      <c r="H129" s="4">
        <v>0</v>
      </c>
      <c r="I129" s="4">
        <v>0</v>
      </c>
      <c r="J129" s="4">
        <v>158.69</v>
      </c>
      <c r="K129" s="4">
        <v>299.47000000000003</v>
      </c>
      <c r="L129" s="4">
        <v>47522.89</v>
      </c>
      <c r="M129" s="4">
        <v>0</v>
      </c>
      <c r="N129" s="4">
        <v>0</v>
      </c>
      <c r="O129" s="4">
        <v>0</v>
      </c>
      <c r="P129" s="6">
        <f t="shared" si="1"/>
        <v>47522.894300000007</v>
      </c>
    </row>
    <row r="130" spans="1:16" outlineLevel="2" x14ac:dyDescent="0.2">
      <c r="A130" s="2"/>
      <c r="B130" s="1"/>
      <c r="C130" s="2"/>
      <c r="D130" s="3"/>
      <c r="E130" s="5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6"/>
    </row>
    <row r="131" spans="1:16" outlineLevel="2" x14ac:dyDescent="0.2">
      <c r="A131" s="2"/>
      <c r="B131" s="1"/>
      <c r="C131" s="2"/>
      <c r="D131" s="3"/>
      <c r="E131" s="5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6"/>
    </row>
    <row r="132" spans="1:16" outlineLevel="2" x14ac:dyDescent="0.2">
      <c r="A132" s="2"/>
      <c r="B132" s="1"/>
      <c r="C132" s="2"/>
      <c r="D132" s="3"/>
      <c r="E132" s="5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6"/>
    </row>
    <row r="133" spans="1:16" outlineLevel="2" x14ac:dyDescent="0.2">
      <c r="A133" s="2"/>
      <c r="B133" s="1"/>
      <c r="C133" s="2"/>
      <c r="D133" s="3"/>
      <c r="E133" s="5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6"/>
    </row>
    <row r="134" spans="1:16" outlineLevel="2" x14ac:dyDescent="0.2">
      <c r="A134" s="2"/>
      <c r="B134" s="1"/>
      <c r="C134" s="2"/>
      <c r="D134" s="3"/>
      <c r="E134" s="5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6"/>
    </row>
    <row r="135" spans="1:16" outlineLevel="2" x14ac:dyDescent="0.2">
      <c r="A135" s="2"/>
      <c r="B135" s="1"/>
      <c r="C135" s="2"/>
      <c r="D135" s="3"/>
      <c r="E135" s="5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6"/>
    </row>
    <row r="136" spans="1:16" outlineLevel="2" x14ac:dyDescent="0.2">
      <c r="A136" s="2"/>
      <c r="B136" s="1"/>
      <c r="C136" s="2"/>
      <c r="D136" s="3"/>
      <c r="E136" s="5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6"/>
    </row>
    <row r="137" spans="1:16" outlineLevel="2" x14ac:dyDescent="0.2">
      <c r="A137" s="2"/>
      <c r="B137" s="1"/>
      <c r="C137" s="2"/>
      <c r="D137" s="3"/>
      <c r="E137" s="5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6"/>
    </row>
    <row r="138" spans="1:16" outlineLevel="2" x14ac:dyDescent="0.2">
      <c r="A138" s="2"/>
      <c r="B138" s="1"/>
      <c r="C138" s="2"/>
      <c r="D138" s="3"/>
      <c r="E138" s="5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6"/>
    </row>
    <row r="139" spans="1:16" outlineLevel="2" x14ac:dyDescent="0.2">
      <c r="A139" s="2"/>
      <c r="B139" s="1"/>
      <c r="C139" s="2"/>
      <c r="D139" s="3"/>
      <c r="E139" s="5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6"/>
    </row>
    <row r="140" spans="1:16" outlineLevel="2" x14ac:dyDescent="0.2">
      <c r="A140" s="2"/>
      <c r="B140" s="1"/>
      <c r="C140" s="2"/>
      <c r="D140" s="3"/>
      <c r="E140" s="5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6"/>
    </row>
    <row r="141" spans="1:16" outlineLevel="2" x14ac:dyDescent="0.2">
      <c r="A141" s="2"/>
      <c r="B141" s="1"/>
      <c r="C141" s="2"/>
      <c r="D141" s="3"/>
      <c r="E141" s="5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6"/>
    </row>
    <row r="142" spans="1:16" outlineLevel="2" x14ac:dyDescent="0.2">
      <c r="A142" s="2"/>
      <c r="B142" s="1"/>
      <c r="C142" s="2"/>
      <c r="D142" s="3"/>
      <c r="E142" s="5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6"/>
    </row>
    <row r="143" spans="1:16" outlineLevel="2" x14ac:dyDescent="0.2">
      <c r="A143" s="2"/>
      <c r="B143" s="1"/>
      <c r="C143" s="2"/>
      <c r="D143" s="3"/>
      <c r="E143" s="5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6"/>
    </row>
    <row r="144" spans="1:16" ht="36.75" outlineLevel="2" x14ac:dyDescent="0.2">
      <c r="A144" s="2">
        <v>90113</v>
      </c>
      <c r="B144" s="1"/>
      <c r="C144" s="2">
        <v>925334</v>
      </c>
      <c r="D144" s="3" t="s">
        <v>147</v>
      </c>
      <c r="E144" s="5" t="s">
        <v>20</v>
      </c>
      <c r="F144" s="4">
        <v>1</v>
      </c>
      <c r="G144" s="4">
        <v>0</v>
      </c>
      <c r="H144" s="4">
        <v>0</v>
      </c>
      <c r="I144" s="4">
        <v>0</v>
      </c>
      <c r="J144" s="4">
        <v>1</v>
      </c>
      <c r="K144" s="4">
        <v>27691.46</v>
      </c>
      <c r="L144" s="4">
        <v>27691.46</v>
      </c>
      <c r="M144" s="4">
        <v>0</v>
      </c>
      <c r="N144" s="4">
        <v>0</v>
      </c>
      <c r="O144" s="4">
        <v>0</v>
      </c>
      <c r="P144" s="6">
        <f t="shared" si="1"/>
        <v>27691.46</v>
      </c>
    </row>
    <row r="145" spans="1:16" ht="27.75" outlineLevel="2" x14ac:dyDescent="0.2">
      <c r="A145" s="2">
        <v>90114</v>
      </c>
      <c r="B145" s="1"/>
      <c r="C145" s="2">
        <v>925335</v>
      </c>
      <c r="D145" s="3" t="s">
        <v>148</v>
      </c>
      <c r="E145" s="5" t="s">
        <v>10</v>
      </c>
      <c r="F145" s="4">
        <v>1707.59</v>
      </c>
      <c r="G145" s="4">
        <v>0</v>
      </c>
      <c r="H145" s="4">
        <v>0</v>
      </c>
      <c r="I145" s="4">
        <v>0</v>
      </c>
      <c r="J145" s="4">
        <v>1707.59</v>
      </c>
      <c r="K145" s="4">
        <v>46.91</v>
      </c>
      <c r="L145" s="4">
        <v>80103.039999999994</v>
      </c>
      <c r="M145" s="4">
        <v>0</v>
      </c>
      <c r="N145" s="4">
        <v>0</v>
      </c>
      <c r="O145" s="4">
        <v>0</v>
      </c>
      <c r="P145" s="6">
        <f t="shared" si="1"/>
        <v>80103.046899999987</v>
      </c>
    </row>
    <row r="146" spans="1:16" x14ac:dyDescent="0.2">
      <c r="A146" s="1"/>
      <c r="B146" s="1"/>
      <c r="C146" s="1"/>
      <c r="D146" s="9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6">
        <f t="shared" si="1"/>
        <v>0</v>
      </c>
    </row>
    <row r="147" spans="1:16" x14ac:dyDescent="0.2">
      <c r="A147" s="1"/>
      <c r="B147" s="1"/>
      <c r="C147" s="1"/>
      <c r="D147" s="9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6">
        <f t="shared" si="1"/>
        <v>0</v>
      </c>
    </row>
    <row r="148" spans="1:16" outlineLevel="2" x14ac:dyDescent="0.2">
      <c r="A148" s="2">
        <v>100100</v>
      </c>
      <c r="B148" s="1"/>
      <c r="C148" s="2">
        <v>641455</v>
      </c>
      <c r="D148" s="7" t="s">
        <v>22</v>
      </c>
      <c r="E148" s="1"/>
      <c r="F148" s="4" t="s">
        <v>9</v>
      </c>
      <c r="G148" s="4">
        <v>0</v>
      </c>
      <c r="H148" s="4">
        <v>0</v>
      </c>
      <c r="I148" s="4">
        <v>0</v>
      </c>
      <c r="J148" s="4">
        <v>0</v>
      </c>
      <c r="K148" s="4" t="s">
        <v>9</v>
      </c>
      <c r="L148" s="4" t="s">
        <v>9</v>
      </c>
      <c r="M148" s="4">
        <v>0</v>
      </c>
      <c r="N148" s="4">
        <v>0</v>
      </c>
      <c r="O148" s="4">
        <v>0</v>
      </c>
      <c r="P148" s="6">
        <f t="shared" si="1"/>
        <v>0</v>
      </c>
    </row>
    <row r="149" spans="1:16" outlineLevel="2" x14ac:dyDescent="0.2">
      <c r="A149" s="2">
        <v>100101</v>
      </c>
      <c r="B149" s="1"/>
      <c r="C149" s="2">
        <v>921430</v>
      </c>
      <c r="D149" s="3" t="s">
        <v>23</v>
      </c>
      <c r="E149" s="1"/>
      <c r="F149" s="4" t="s">
        <v>9</v>
      </c>
      <c r="G149" s="4">
        <v>0</v>
      </c>
      <c r="H149" s="4">
        <v>0</v>
      </c>
      <c r="I149" s="4">
        <v>0</v>
      </c>
      <c r="J149" s="4">
        <v>0</v>
      </c>
      <c r="K149" s="4" t="s">
        <v>9</v>
      </c>
      <c r="L149" s="4" t="s">
        <v>9</v>
      </c>
      <c r="M149" s="4">
        <v>0</v>
      </c>
      <c r="N149" s="4">
        <v>0</v>
      </c>
      <c r="O149" s="4">
        <v>0</v>
      </c>
      <c r="P149" s="6">
        <f t="shared" si="1"/>
        <v>0</v>
      </c>
    </row>
    <row r="150" spans="1:16" ht="18.75" outlineLevel="2" x14ac:dyDescent="0.2">
      <c r="A150" s="2">
        <v>100102</v>
      </c>
      <c r="B150" s="1"/>
      <c r="C150" s="2">
        <v>925336</v>
      </c>
      <c r="D150" s="3" t="s">
        <v>149</v>
      </c>
      <c r="E150" s="5" t="s">
        <v>15</v>
      </c>
      <c r="F150" s="4">
        <v>142.32</v>
      </c>
      <c r="G150" s="4">
        <v>9</v>
      </c>
      <c r="H150" s="4">
        <v>0</v>
      </c>
      <c r="I150" s="4">
        <v>9</v>
      </c>
      <c r="J150" s="4">
        <v>133.32</v>
      </c>
      <c r="K150" s="4">
        <v>3.37</v>
      </c>
      <c r="L150" s="4">
        <v>479.61</v>
      </c>
      <c r="M150" s="4">
        <v>30.33</v>
      </c>
      <c r="N150" s="4">
        <v>0</v>
      </c>
      <c r="O150" s="4">
        <v>30.33</v>
      </c>
      <c r="P150" s="6">
        <f t="shared" si="1"/>
        <v>449.28839999999997</v>
      </c>
    </row>
    <row r="151" spans="1:16" ht="18.75" outlineLevel="2" x14ac:dyDescent="0.2">
      <c r="A151" s="2">
        <v>100103</v>
      </c>
      <c r="B151" s="1"/>
      <c r="C151" s="2">
        <v>922677</v>
      </c>
      <c r="D151" s="3" t="s">
        <v>150</v>
      </c>
      <c r="E151" s="5" t="s">
        <v>15</v>
      </c>
      <c r="F151" s="4">
        <v>121.99</v>
      </c>
      <c r="G151" s="4">
        <v>0</v>
      </c>
      <c r="H151" s="4">
        <v>0</v>
      </c>
      <c r="I151" s="4">
        <v>0</v>
      </c>
      <c r="J151" s="4">
        <v>121.99</v>
      </c>
      <c r="K151" s="4">
        <v>6.83</v>
      </c>
      <c r="L151" s="4">
        <v>833.19</v>
      </c>
      <c r="M151" s="4">
        <v>0</v>
      </c>
      <c r="N151" s="4">
        <v>0</v>
      </c>
      <c r="O151" s="4">
        <v>0</v>
      </c>
      <c r="P151" s="6">
        <f t="shared" ref="P151:P214" si="2">PRODUCT(J151,K151)</f>
        <v>833.19169999999997</v>
      </c>
    </row>
    <row r="152" spans="1:16" ht="18.75" outlineLevel="2" x14ac:dyDescent="0.2">
      <c r="A152" s="2">
        <v>100104</v>
      </c>
      <c r="B152" s="1"/>
      <c r="C152" s="2">
        <v>922320</v>
      </c>
      <c r="D152" s="3" t="s">
        <v>151</v>
      </c>
      <c r="E152" s="5" t="s">
        <v>15</v>
      </c>
      <c r="F152" s="4">
        <v>69.03</v>
      </c>
      <c r="G152" s="4">
        <v>0</v>
      </c>
      <c r="H152" s="4">
        <v>0</v>
      </c>
      <c r="I152" s="4">
        <v>0</v>
      </c>
      <c r="J152" s="4">
        <v>69.03</v>
      </c>
      <c r="K152" s="4">
        <v>9.83</v>
      </c>
      <c r="L152" s="4">
        <v>678.56</v>
      </c>
      <c r="M152" s="4">
        <v>0</v>
      </c>
      <c r="N152" s="4">
        <v>0</v>
      </c>
      <c r="O152" s="4">
        <v>0</v>
      </c>
      <c r="P152" s="6">
        <f t="shared" si="2"/>
        <v>678.56489999999997</v>
      </c>
    </row>
    <row r="153" spans="1:16" ht="18.75" outlineLevel="2" x14ac:dyDescent="0.2">
      <c r="A153" s="2">
        <v>100105</v>
      </c>
      <c r="B153" s="1"/>
      <c r="C153" s="2">
        <v>922472</v>
      </c>
      <c r="D153" s="3" t="s">
        <v>152</v>
      </c>
      <c r="E153" s="5" t="s">
        <v>15</v>
      </c>
      <c r="F153" s="4">
        <v>121.08</v>
      </c>
      <c r="G153" s="4">
        <v>0</v>
      </c>
      <c r="H153" s="4">
        <v>0</v>
      </c>
      <c r="I153" s="4">
        <v>0</v>
      </c>
      <c r="J153" s="4">
        <v>121.08</v>
      </c>
      <c r="K153" s="4">
        <v>12.16</v>
      </c>
      <c r="L153" s="4">
        <v>1472.33</v>
      </c>
      <c r="M153" s="4">
        <v>0</v>
      </c>
      <c r="N153" s="4">
        <v>0</v>
      </c>
      <c r="O153" s="4">
        <v>0</v>
      </c>
      <c r="P153" s="6">
        <f t="shared" si="2"/>
        <v>1472.3327999999999</v>
      </c>
    </row>
    <row r="154" spans="1:16" ht="18.75" outlineLevel="2" x14ac:dyDescent="0.2">
      <c r="A154" s="2">
        <v>100106</v>
      </c>
      <c r="B154" s="1"/>
      <c r="C154" s="2">
        <v>923904</v>
      </c>
      <c r="D154" s="3" t="s">
        <v>153</v>
      </c>
      <c r="E154" s="5" t="s">
        <v>15</v>
      </c>
      <c r="F154" s="4">
        <v>64.23</v>
      </c>
      <c r="G154" s="4">
        <v>0</v>
      </c>
      <c r="H154" s="4">
        <v>0</v>
      </c>
      <c r="I154" s="4">
        <v>0</v>
      </c>
      <c r="J154" s="4">
        <v>64.23</v>
      </c>
      <c r="K154" s="4">
        <v>18.61</v>
      </c>
      <c r="L154" s="4">
        <v>1195.32</v>
      </c>
      <c r="M154" s="4">
        <v>0</v>
      </c>
      <c r="N154" s="4">
        <v>0</v>
      </c>
      <c r="O154" s="4">
        <v>0</v>
      </c>
      <c r="P154" s="6">
        <f t="shared" si="2"/>
        <v>1195.3203000000001</v>
      </c>
    </row>
    <row r="155" spans="1:16" ht="18.75" outlineLevel="2" x14ac:dyDescent="0.2">
      <c r="A155" s="2">
        <v>100107</v>
      </c>
      <c r="B155" s="1"/>
      <c r="C155" s="2">
        <v>925337</v>
      </c>
      <c r="D155" s="3" t="s">
        <v>154</v>
      </c>
      <c r="E155" s="5" t="s">
        <v>15</v>
      </c>
      <c r="F155" s="4">
        <v>109.12</v>
      </c>
      <c r="G155" s="4">
        <v>0</v>
      </c>
      <c r="H155" s="4">
        <v>0</v>
      </c>
      <c r="I155" s="4">
        <v>0</v>
      </c>
      <c r="J155" s="4">
        <v>109.12</v>
      </c>
      <c r="K155" s="4">
        <v>25.95</v>
      </c>
      <c r="L155" s="4">
        <v>2831.66</v>
      </c>
      <c r="M155" s="4">
        <v>0</v>
      </c>
      <c r="N155" s="4">
        <v>0</v>
      </c>
      <c r="O155" s="4">
        <v>0</v>
      </c>
      <c r="P155" s="6">
        <f t="shared" si="2"/>
        <v>2831.6640000000002</v>
      </c>
    </row>
    <row r="156" spans="1:16" ht="18.75" outlineLevel="2" x14ac:dyDescent="0.2">
      <c r="A156" s="2">
        <v>100108</v>
      </c>
      <c r="B156" s="1"/>
      <c r="C156" s="2">
        <v>923906</v>
      </c>
      <c r="D156" s="3" t="s">
        <v>155</v>
      </c>
      <c r="E156" s="5" t="s">
        <v>15</v>
      </c>
      <c r="F156" s="4">
        <v>0.6</v>
      </c>
      <c r="G156" s="4">
        <v>0</v>
      </c>
      <c r="H156" s="4">
        <v>0</v>
      </c>
      <c r="I156" s="4">
        <v>0</v>
      </c>
      <c r="J156" s="4">
        <v>0.6</v>
      </c>
      <c r="K156" s="4">
        <v>32.549999999999997</v>
      </c>
      <c r="L156" s="4">
        <v>19.53</v>
      </c>
      <c r="M156" s="4">
        <v>0</v>
      </c>
      <c r="N156" s="4">
        <v>0</v>
      </c>
      <c r="O156" s="4">
        <v>0</v>
      </c>
      <c r="P156" s="6">
        <f t="shared" si="2"/>
        <v>19.529999999999998</v>
      </c>
    </row>
    <row r="157" spans="1:16" ht="27.75" outlineLevel="2" x14ac:dyDescent="0.2">
      <c r="A157" s="2">
        <v>100109</v>
      </c>
      <c r="B157" s="1"/>
      <c r="C157" s="2">
        <v>920567</v>
      </c>
      <c r="D157" s="3" t="s">
        <v>156</v>
      </c>
      <c r="E157" s="5" t="s">
        <v>20</v>
      </c>
      <c r="F157" s="4">
        <v>49</v>
      </c>
      <c r="G157" s="4">
        <v>10</v>
      </c>
      <c r="H157" s="4">
        <v>0</v>
      </c>
      <c r="I157" s="4">
        <v>10</v>
      </c>
      <c r="J157" s="4">
        <v>39</v>
      </c>
      <c r="K157" s="4">
        <v>6.06</v>
      </c>
      <c r="L157" s="4">
        <v>296.94</v>
      </c>
      <c r="M157" s="4">
        <v>60.6</v>
      </c>
      <c r="N157" s="4">
        <v>0</v>
      </c>
      <c r="O157" s="4">
        <v>60.6</v>
      </c>
      <c r="P157" s="6">
        <f t="shared" si="2"/>
        <v>236.33999999999997</v>
      </c>
    </row>
    <row r="158" spans="1:16" ht="27.75" outlineLevel="2" x14ac:dyDescent="0.2">
      <c r="A158" s="2">
        <v>100110</v>
      </c>
      <c r="B158" s="1"/>
      <c r="C158" s="2">
        <v>920569</v>
      </c>
      <c r="D158" s="3" t="s">
        <v>157</v>
      </c>
      <c r="E158" s="5" t="s">
        <v>20</v>
      </c>
      <c r="F158" s="4">
        <v>57</v>
      </c>
      <c r="G158" s="4">
        <v>5</v>
      </c>
      <c r="H158" s="4">
        <v>0</v>
      </c>
      <c r="I158" s="4">
        <v>5</v>
      </c>
      <c r="J158" s="4">
        <v>52</v>
      </c>
      <c r="K158" s="4">
        <v>10.47</v>
      </c>
      <c r="L158" s="4">
        <v>596.79</v>
      </c>
      <c r="M158" s="4">
        <v>52.35</v>
      </c>
      <c r="N158" s="4">
        <v>0</v>
      </c>
      <c r="O158" s="4">
        <v>52.35</v>
      </c>
      <c r="P158" s="6">
        <f t="shared" si="2"/>
        <v>544.44000000000005</v>
      </c>
    </row>
    <row r="159" spans="1:16" ht="27.75" outlineLevel="2" x14ac:dyDescent="0.2">
      <c r="A159" s="2">
        <v>100111</v>
      </c>
      <c r="B159" s="1"/>
      <c r="C159" s="2">
        <v>920568</v>
      </c>
      <c r="D159" s="3" t="s">
        <v>158</v>
      </c>
      <c r="E159" s="5" t="s">
        <v>20</v>
      </c>
      <c r="F159" s="4">
        <v>37</v>
      </c>
      <c r="G159" s="4">
        <v>0</v>
      </c>
      <c r="H159" s="4">
        <v>0</v>
      </c>
      <c r="I159" s="4">
        <v>0</v>
      </c>
      <c r="J159" s="4">
        <v>37</v>
      </c>
      <c r="K159" s="4">
        <v>8.44</v>
      </c>
      <c r="L159" s="4">
        <v>312.27999999999997</v>
      </c>
      <c r="M159" s="4">
        <v>0</v>
      </c>
      <c r="N159" s="4">
        <v>0</v>
      </c>
      <c r="O159" s="4">
        <v>0</v>
      </c>
      <c r="P159" s="6">
        <f t="shared" si="2"/>
        <v>312.27999999999997</v>
      </c>
    </row>
    <row r="160" spans="1:16" ht="18.75" outlineLevel="2" x14ac:dyDescent="0.2">
      <c r="A160" s="2">
        <v>100112</v>
      </c>
      <c r="B160" s="1"/>
      <c r="C160" s="2">
        <v>922377</v>
      </c>
      <c r="D160" s="3" t="s">
        <v>159</v>
      </c>
      <c r="E160" s="5" t="s">
        <v>20</v>
      </c>
      <c r="F160" s="4">
        <v>5</v>
      </c>
      <c r="G160" s="4">
        <v>0</v>
      </c>
      <c r="H160" s="4">
        <v>0</v>
      </c>
      <c r="I160" s="4">
        <v>0</v>
      </c>
      <c r="J160" s="4">
        <v>5</v>
      </c>
      <c r="K160" s="4">
        <v>34.159999999999997</v>
      </c>
      <c r="L160" s="4">
        <v>170.8</v>
      </c>
      <c r="M160" s="4">
        <v>0</v>
      </c>
      <c r="N160" s="4">
        <v>0</v>
      </c>
      <c r="O160" s="4">
        <v>0</v>
      </c>
      <c r="P160" s="6">
        <f t="shared" si="2"/>
        <v>170.79999999999998</v>
      </c>
    </row>
    <row r="161" spans="1:16" ht="36.75" outlineLevel="2" x14ac:dyDescent="0.2">
      <c r="A161" s="2">
        <v>100113</v>
      </c>
      <c r="B161" s="1"/>
      <c r="C161" s="2">
        <v>923441</v>
      </c>
      <c r="D161" s="3" t="s">
        <v>160</v>
      </c>
      <c r="E161" s="5" t="s">
        <v>20</v>
      </c>
      <c r="F161" s="4">
        <v>30</v>
      </c>
      <c r="G161" s="4">
        <v>0</v>
      </c>
      <c r="H161" s="4">
        <v>0</v>
      </c>
      <c r="I161" s="4">
        <v>0</v>
      </c>
      <c r="J161" s="4">
        <v>30</v>
      </c>
      <c r="K161" s="4">
        <v>14.4</v>
      </c>
      <c r="L161" s="4">
        <v>432</v>
      </c>
      <c r="M161" s="4">
        <v>0</v>
      </c>
      <c r="N161" s="4">
        <v>0</v>
      </c>
      <c r="O161" s="4">
        <v>0</v>
      </c>
      <c r="P161" s="6">
        <f t="shared" si="2"/>
        <v>432</v>
      </c>
    </row>
    <row r="162" spans="1:16" ht="27.75" outlineLevel="2" x14ac:dyDescent="0.2">
      <c r="A162" s="2">
        <v>100114</v>
      </c>
      <c r="B162" s="1"/>
      <c r="C162" s="2">
        <v>925338</v>
      </c>
      <c r="D162" s="3" t="s">
        <v>161</v>
      </c>
      <c r="E162" s="5" t="s">
        <v>20</v>
      </c>
      <c r="F162" s="4">
        <v>4</v>
      </c>
      <c r="G162" s="4">
        <v>1</v>
      </c>
      <c r="H162" s="4">
        <v>0</v>
      </c>
      <c r="I162" s="4">
        <v>1</v>
      </c>
      <c r="J162" s="4">
        <v>3</v>
      </c>
      <c r="K162" s="4">
        <v>6.17</v>
      </c>
      <c r="L162" s="4">
        <v>24.68</v>
      </c>
      <c r="M162" s="4">
        <v>6.17</v>
      </c>
      <c r="N162" s="4">
        <v>0</v>
      </c>
      <c r="O162" s="4">
        <v>6.17</v>
      </c>
      <c r="P162" s="6">
        <f t="shared" si="2"/>
        <v>18.509999999999998</v>
      </c>
    </row>
    <row r="163" spans="1:16" ht="27.75" outlineLevel="2" x14ac:dyDescent="0.2">
      <c r="A163" s="2">
        <v>100115</v>
      </c>
      <c r="B163" s="1"/>
      <c r="C163" s="2">
        <v>925339</v>
      </c>
      <c r="D163" s="3" t="s">
        <v>162</v>
      </c>
      <c r="E163" s="5" t="s">
        <v>20</v>
      </c>
      <c r="F163" s="4">
        <v>22</v>
      </c>
      <c r="G163" s="4">
        <v>1</v>
      </c>
      <c r="H163" s="4">
        <v>0</v>
      </c>
      <c r="I163" s="4">
        <v>1</v>
      </c>
      <c r="J163" s="4">
        <v>21</v>
      </c>
      <c r="K163" s="4">
        <v>6.33</v>
      </c>
      <c r="L163" s="4">
        <v>139.26</v>
      </c>
      <c r="M163" s="4">
        <v>6.33</v>
      </c>
      <c r="N163" s="4">
        <v>0</v>
      </c>
      <c r="O163" s="4">
        <v>6.33</v>
      </c>
      <c r="P163" s="6">
        <f t="shared" si="2"/>
        <v>132.93</v>
      </c>
    </row>
    <row r="164" spans="1:16" ht="18.75" outlineLevel="2" x14ac:dyDescent="0.2">
      <c r="A164" s="2">
        <v>100116</v>
      </c>
      <c r="B164" s="1"/>
      <c r="C164" s="2">
        <v>925340</v>
      </c>
      <c r="D164" s="3" t="s">
        <v>163</v>
      </c>
      <c r="E164" s="5" t="s">
        <v>20</v>
      </c>
      <c r="F164" s="4">
        <v>8</v>
      </c>
      <c r="G164" s="4">
        <v>3</v>
      </c>
      <c r="H164" s="4">
        <v>0</v>
      </c>
      <c r="I164" s="4">
        <v>3</v>
      </c>
      <c r="J164" s="4">
        <v>5</v>
      </c>
      <c r="K164" s="4">
        <v>13.16</v>
      </c>
      <c r="L164" s="4">
        <v>105.28</v>
      </c>
      <c r="M164" s="4">
        <v>39.479999999999997</v>
      </c>
      <c r="N164" s="4">
        <v>0</v>
      </c>
      <c r="O164" s="4">
        <v>39.479999999999997</v>
      </c>
      <c r="P164" s="6">
        <f t="shared" si="2"/>
        <v>65.8</v>
      </c>
    </row>
    <row r="165" spans="1:16" ht="27.75" outlineLevel="2" x14ac:dyDescent="0.2">
      <c r="A165" s="2">
        <v>100117</v>
      </c>
      <c r="B165" s="1"/>
      <c r="C165" s="2">
        <v>925341</v>
      </c>
      <c r="D165" s="3" t="s">
        <v>164</v>
      </c>
      <c r="E165" s="5" t="s">
        <v>20</v>
      </c>
      <c r="F165" s="4">
        <v>10</v>
      </c>
      <c r="G165" s="4">
        <v>0</v>
      </c>
      <c r="H165" s="4">
        <v>0</v>
      </c>
      <c r="I165" s="4">
        <v>0</v>
      </c>
      <c r="J165" s="4">
        <v>10</v>
      </c>
      <c r="K165" s="4">
        <v>8.26</v>
      </c>
      <c r="L165" s="4">
        <v>82.6</v>
      </c>
      <c r="M165" s="4">
        <v>0</v>
      </c>
      <c r="N165" s="4">
        <v>0</v>
      </c>
      <c r="O165" s="4">
        <v>0</v>
      </c>
      <c r="P165" s="6">
        <f t="shared" si="2"/>
        <v>82.6</v>
      </c>
    </row>
    <row r="166" spans="1:16" ht="27.75" outlineLevel="2" x14ac:dyDescent="0.2">
      <c r="A166" s="2">
        <v>100118</v>
      </c>
      <c r="B166" s="1"/>
      <c r="C166" s="2">
        <v>925342</v>
      </c>
      <c r="D166" s="3" t="s">
        <v>165</v>
      </c>
      <c r="E166" s="5" t="s">
        <v>20</v>
      </c>
      <c r="F166" s="4">
        <v>3</v>
      </c>
      <c r="G166" s="4">
        <v>3</v>
      </c>
      <c r="H166" s="4">
        <v>0</v>
      </c>
      <c r="I166" s="4">
        <v>3</v>
      </c>
      <c r="J166" s="4">
        <v>0</v>
      </c>
      <c r="K166" s="4">
        <v>8.3800000000000008</v>
      </c>
      <c r="L166" s="4">
        <v>25.14</v>
      </c>
      <c r="M166" s="4">
        <v>25.14</v>
      </c>
      <c r="N166" s="4">
        <v>0</v>
      </c>
      <c r="O166" s="4">
        <v>25.14</v>
      </c>
      <c r="P166" s="6">
        <f t="shared" si="2"/>
        <v>0</v>
      </c>
    </row>
    <row r="167" spans="1:16" ht="27.75" outlineLevel="2" x14ac:dyDescent="0.2">
      <c r="A167" s="2">
        <v>100119</v>
      </c>
      <c r="B167" s="1"/>
      <c r="C167" s="2">
        <v>923437</v>
      </c>
      <c r="D167" s="3" t="s">
        <v>166</v>
      </c>
      <c r="E167" s="5" t="s">
        <v>20</v>
      </c>
      <c r="F167" s="4">
        <v>13</v>
      </c>
      <c r="G167" s="4">
        <v>10</v>
      </c>
      <c r="H167" s="4">
        <v>0</v>
      </c>
      <c r="I167" s="4">
        <v>10</v>
      </c>
      <c r="J167" s="4">
        <v>3</v>
      </c>
      <c r="K167" s="4">
        <v>7.54</v>
      </c>
      <c r="L167" s="4">
        <v>98.02</v>
      </c>
      <c r="M167" s="4">
        <v>75.400000000000006</v>
      </c>
      <c r="N167" s="4">
        <v>0</v>
      </c>
      <c r="O167" s="4">
        <v>75.400000000000006</v>
      </c>
      <c r="P167" s="6">
        <f t="shared" si="2"/>
        <v>22.62</v>
      </c>
    </row>
    <row r="168" spans="1:16" ht="18.75" outlineLevel="2" x14ac:dyDescent="0.2">
      <c r="A168" s="2">
        <v>100120</v>
      </c>
      <c r="B168" s="1"/>
      <c r="C168" s="2">
        <v>923436</v>
      </c>
      <c r="D168" s="3" t="s">
        <v>167</v>
      </c>
      <c r="E168" s="5" t="s">
        <v>20</v>
      </c>
      <c r="F168" s="4">
        <v>6</v>
      </c>
      <c r="G168" s="4">
        <v>3</v>
      </c>
      <c r="H168" s="4">
        <v>0</v>
      </c>
      <c r="I168" s="4">
        <v>3</v>
      </c>
      <c r="J168" s="4">
        <v>3</v>
      </c>
      <c r="K168" s="4">
        <v>11.56</v>
      </c>
      <c r="L168" s="4">
        <v>69.36</v>
      </c>
      <c r="M168" s="4">
        <v>34.68</v>
      </c>
      <c r="N168" s="4">
        <v>0</v>
      </c>
      <c r="O168" s="4">
        <v>34.68</v>
      </c>
      <c r="P168" s="6">
        <f t="shared" si="2"/>
        <v>34.68</v>
      </c>
    </row>
    <row r="169" spans="1:16" ht="18.75" outlineLevel="2" x14ac:dyDescent="0.2">
      <c r="A169" s="2">
        <v>100121</v>
      </c>
      <c r="B169" s="1"/>
      <c r="C169" s="2">
        <v>922451</v>
      </c>
      <c r="D169" s="3" t="s">
        <v>168</v>
      </c>
      <c r="E169" s="5" t="s">
        <v>20</v>
      </c>
      <c r="F169" s="4">
        <v>10</v>
      </c>
      <c r="G169" s="4">
        <v>0</v>
      </c>
      <c r="H169" s="4">
        <v>0</v>
      </c>
      <c r="I169" s="4">
        <v>0</v>
      </c>
      <c r="J169" s="4">
        <v>10</v>
      </c>
      <c r="K169" s="4">
        <v>14.12</v>
      </c>
      <c r="L169" s="4">
        <v>141.19999999999999</v>
      </c>
      <c r="M169" s="4">
        <v>0</v>
      </c>
      <c r="N169" s="4">
        <v>0</v>
      </c>
      <c r="O169" s="4">
        <v>0</v>
      </c>
      <c r="P169" s="6">
        <f t="shared" si="2"/>
        <v>141.19999999999999</v>
      </c>
    </row>
    <row r="170" spans="1:16" ht="27.75" outlineLevel="2" x14ac:dyDescent="0.2">
      <c r="A170" s="2">
        <v>100122</v>
      </c>
      <c r="B170" s="1"/>
      <c r="C170" s="2">
        <v>922679</v>
      </c>
      <c r="D170" s="3" t="s">
        <v>169</v>
      </c>
      <c r="E170" s="5" t="s">
        <v>20</v>
      </c>
      <c r="F170" s="4">
        <v>14</v>
      </c>
      <c r="G170" s="4">
        <v>0</v>
      </c>
      <c r="H170" s="4">
        <v>0</v>
      </c>
      <c r="I170" s="4">
        <v>0</v>
      </c>
      <c r="J170" s="4">
        <v>14</v>
      </c>
      <c r="K170" s="4">
        <v>9.2200000000000006</v>
      </c>
      <c r="L170" s="4">
        <v>129.08000000000001</v>
      </c>
      <c r="M170" s="4">
        <v>0</v>
      </c>
      <c r="N170" s="4">
        <v>0</v>
      </c>
      <c r="O170" s="4">
        <v>0</v>
      </c>
      <c r="P170" s="6">
        <f t="shared" si="2"/>
        <v>129.08000000000001</v>
      </c>
    </row>
    <row r="171" spans="1:16" ht="27.75" outlineLevel="2" x14ac:dyDescent="0.2">
      <c r="A171" s="2">
        <v>100123</v>
      </c>
      <c r="B171" s="1"/>
      <c r="C171" s="2">
        <v>923934</v>
      </c>
      <c r="D171" s="3" t="s">
        <v>170</v>
      </c>
      <c r="E171" s="5" t="s">
        <v>20</v>
      </c>
      <c r="F171" s="4">
        <v>2</v>
      </c>
      <c r="G171" s="4">
        <v>0</v>
      </c>
      <c r="H171" s="4">
        <v>0</v>
      </c>
      <c r="I171" s="4">
        <v>0</v>
      </c>
      <c r="J171" s="4">
        <v>2</v>
      </c>
      <c r="K171" s="4">
        <v>24.23</v>
      </c>
      <c r="L171" s="4">
        <v>48.46</v>
      </c>
      <c r="M171" s="4">
        <v>0</v>
      </c>
      <c r="N171" s="4">
        <v>0</v>
      </c>
      <c r="O171" s="4">
        <v>0</v>
      </c>
      <c r="P171" s="6">
        <f t="shared" si="2"/>
        <v>48.46</v>
      </c>
    </row>
    <row r="172" spans="1:16" ht="18.75" outlineLevel="2" x14ac:dyDescent="0.2">
      <c r="A172" s="2">
        <v>100124</v>
      </c>
      <c r="B172" s="1"/>
      <c r="C172" s="2">
        <v>923951</v>
      </c>
      <c r="D172" s="3" t="s">
        <v>171</v>
      </c>
      <c r="E172" s="5" t="s">
        <v>20</v>
      </c>
      <c r="F172" s="4">
        <v>3</v>
      </c>
      <c r="G172" s="4">
        <v>0</v>
      </c>
      <c r="H172" s="4">
        <v>0</v>
      </c>
      <c r="I172" s="4">
        <v>0</v>
      </c>
      <c r="J172" s="4">
        <v>3</v>
      </c>
      <c r="K172" s="4">
        <v>28.32</v>
      </c>
      <c r="L172" s="4">
        <v>84.96</v>
      </c>
      <c r="M172" s="4">
        <v>0</v>
      </c>
      <c r="N172" s="4">
        <v>0</v>
      </c>
      <c r="O172" s="4">
        <v>0</v>
      </c>
      <c r="P172" s="6">
        <f t="shared" si="2"/>
        <v>84.960000000000008</v>
      </c>
    </row>
    <row r="173" spans="1:16" ht="27.75" outlineLevel="2" x14ac:dyDescent="0.2">
      <c r="A173" s="2">
        <v>100125</v>
      </c>
      <c r="B173" s="1"/>
      <c r="C173" s="2">
        <v>925343</v>
      </c>
      <c r="D173" s="3" t="s">
        <v>172</v>
      </c>
      <c r="E173" s="5" t="s">
        <v>20</v>
      </c>
      <c r="F173" s="4">
        <v>4</v>
      </c>
      <c r="G173" s="4">
        <v>0</v>
      </c>
      <c r="H173" s="4">
        <v>0</v>
      </c>
      <c r="I173" s="4">
        <v>0</v>
      </c>
      <c r="J173" s="4">
        <v>4</v>
      </c>
      <c r="K173" s="4">
        <v>18.010000000000002</v>
      </c>
      <c r="L173" s="4">
        <v>72.040000000000006</v>
      </c>
      <c r="M173" s="4">
        <v>0</v>
      </c>
      <c r="N173" s="4">
        <v>0</v>
      </c>
      <c r="O173" s="4">
        <v>0</v>
      </c>
      <c r="P173" s="6">
        <f t="shared" si="2"/>
        <v>72.040000000000006</v>
      </c>
    </row>
    <row r="174" spans="1:16" ht="27.75" outlineLevel="2" x14ac:dyDescent="0.2">
      <c r="A174" s="2">
        <v>100126</v>
      </c>
      <c r="B174" s="1"/>
      <c r="C174" s="2">
        <v>923264</v>
      </c>
      <c r="D174" s="3" t="s">
        <v>173</v>
      </c>
      <c r="E174" s="5" t="s">
        <v>20</v>
      </c>
      <c r="F174" s="4">
        <v>4</v>
      </c>
      <c r="G174" s="4">
        <v>0</v>
      </c>
      <c r="H174" s="4">
        <v>0</v>
      </c>
      <c r="I174" s="4">
        <v>0</v>
      </c>
      <c r="J174" s="4">
        <v>4</v>
      </c>
      <c r="K174" s="4">
        <v>64.94</v>
      </c>
      <c r="L174" s="4">
        <v>259.76</v>
      </c>
      <c r="M174" s="4">
        <v>0</v>
      </c>
      <c r="N174" s="4">
        <v>0</v>
      </c>
      <c r="O174" s="4">
        <v>0</v>
      </c>
      <c r="P174" s="6">
        <f t="shared" si="2"/>
        <v>259.76</v>
      </c>
    </row>
    <row r="175" spans="1:16" ht="18.75" outlineLevel="2" x14ac:dyDescent="0.2">
      <c r="A175" s="2">
        <v>100127</v>
      </c>
      <c r="B175" s="1"/>
      <c r="C175" s="2">
        <v>925344</v>
      </c>
      <c r="D175" s="3" t="s">
        <v>174</v>
      </c>
      <c r="E175" s="5" t="s">
        <v>20</v>
      </c>
      <c r="F175" s="4">
        <v>6</v>
      </c>
      <c r="G175" s="4">
        <v>0</v>
      </c>
      <c r="H175" s="4">
        <v>0</v>
      </c>
      <c r="I175" s="4">
        <v>0</v>
      </c>
      <c r="J175" s="4">
        <v>6</v>
      </c>
      <c r="K175" s="4">
        <v>22.01</v>
      </c>
      <c r="L175" s="4">
        <v>132.06</v>
      </c>
      <c r="M175" s="4">
        <v>0</v>
      </c>
      <c r="N175" s="4">
        <v>0</v>
      </c>
      <c r="O175" s="4">
        <v>0</v>
      </c>
      <c r="P175" s="6">
        <f t="shared" si="2"/>
        <v>132.06</v>
      </c>
    </row>
    <row r="176" spans="1:16" ht="18.75" outlineLevel="2" x14ac:dyDescent="0.2">
      <c r="A176" s="2">
        <v>100128</v>
      </c>
      <c r="B176" s="1"/>
      <c r="C176" s="2">
        <v>925345</v>
      </c>
      <c r="D176" s="3" t="s">
        <v>175</v>
      </c>
      <c r="E176" s="5" t="s">
        <v>20</v>
      </c>
      <c r="F176" s="4">
        <v>9</v>
      </c>
      <c r="G176" s="4">
        <v>1</v>
      </c>
      <c r="H176" s="4">
        <v>0</v>
      </c>
      <c r="I176" s="4">
        <v>1</v>
      </c>
      <c r="J176" s="4">
        <v>8</v>
      </c>
      <c r="K176" s="4">
        <v>49.85</v>
      </c>
      <c r="L176" s="4">
        <v>448.65</v>
      </c>
      <c r="M176" s="4">
        <v>49.85</v>
      </c>
      <c r="N176" s="4">
        <v>0</v>
      </c>
      <c r="O176" s="4">
        <v>49.85</v>
      </c>
      <c r="P176" s="6">
        <f t="shared" si="2"/>
        <v>398.8</v>
      </c>
    </row>
    <row r="177" spans="1:16" ht="18.75" outlineLevel="2" x14ac:dyDescent="0.2">
      <c r="A177" s="2">
        <v>100129</v>
      </c>
      <c r="B177" s="1"/>
      <c r="C177" s="2">
        <v>923953</v>
      </c>
      <c r="D177" s="3" t="s">
        <v>176</v>
      </c>
      <c r="E177" s="5" t="s">
        <v>20</v>
      </c>
      <c r="F177" s="4">
        <v>1</v>
      </c>
      <c r="G177" s="4">
        <v>0</v>
      </c>
      <c r="H177" s="4">
        <v>0</v>
      </c>
      <c r="I177" s="4">
        <v>0</v>
      </c>
      <c r="J177" s="4">
        <v>1</v>
      </c>
      <c r="K177" s="4">
        <v>72.5</v>
      </c>
      <c r="L177" s="4">
        <v>72.5</v>
      </c>
      <c r="M177" s="4">
        <v>0</v>
      </c>
      <c r="N177" s="4">
        <v>0</v>
      </c>
      <c r="O177" s="4">
        <v>0</v>
      </c>
      <c r="P177" s="6">
        <f t="shared" si="2"/>
        <v>72.5</v>
      </c>
    </row>
    <row r="178" spans="1:16" ht="27.75" outlineLevel="2" x14ac:dyDescent="0.2">
      <c r="A178" s="2">
        <v>100130</v>
      </c>
      <c r="B178" s="1"/>
      <c r="C178" s="2">
        <v>948207</v>
      </c>
      <c r="D178" s="3" t="s">
        <v>177</v>
      </c>
      <c r="E178" s="5" t="s">
        <v>20</v>
      </c>
      <c r="F178" s="4">
        <v>10</v>
      </c>
      <c r="G178" s="4">
        <v>0</v>
      </c>
      <c r="H178" s="4">
        <v>0</v>
      </c>
      <c r="I178" s="4">
        <v>0</v>
      </c>
      <c r="J178" s="4">
        <v>10</v>
      </c>
      <c r="K178" s="4">
        <v>170.63</v>
      </c>
      <c r="L178" s="4">
        <v>1706.3</v>
      </c>
      <c r="M178" s="4">
        <v>0</v>
      </c>
      <c r="N178" s="4">
        <v>0</v>
      </c>
      <c r="O178" s="4">
        <v>0</v>
      </c>
      <c r="P178" s="6">
        <f t="shared" si="2"/>
        <v>1706.3</v>
      </c>
    </row>
    <row r="179" spans="1:16" ht="27.75" outlineLevel="2" x14ac:dyDescent="0.2">
      <c r="A179" s="2">
        <v>100131</v>
      </c>
      <c r="B179" s="1"/>
      <c r="C179" s="2">
        <v>925346</v>
      </c>
      <c r="D179" s="3" t="s">
        <v>178</v>
      </c>
      <c r="E179" s="5" t="s">
        <v>20</v>
      </c>
      <c r="F179" s="4">
        <v>8</v>
      </c>
      <c r="G179" s="4">
        <v>0</v>
      </c>
      <c r="H179" s="4">
        <v>0</v>
      </c>
      <c r="I179" s="4">
        <v>0</v>
      </c>
      <c r="J179" s="4">
        <v>8</v>
      </c>
      <c r="K179" s="4">
        <v>116.13</v>
      </c>
      <c r="L179" s="4">
        <v>929.04</v>
      </c>
      <c r="M179" s="4">
        <v>0</v>
      </c>
      <c r="N179" s="4">
        <v>0</v>
      </c>
      <c r="O179" s="4">
        <v>0</v>
      </c>
      <c r="P179" s="6">
        <f t="shared" si="2"/>
        <v>929.04</v>
      </c>
    </row>
    <row r="180" spans="1:16" ht="27.75" outlineLevel="2" x14ac:dyDescent="0.2">
      <c r="A180" s="2">
        <v>100132</v>
      </c>
      <c r="B180" s="1"/>
      <c r="C180" s="2">
        <v>920572</v>
      </c>
      <c r="D180" s="3" t="s">
        <v>179</v>
      </c>
      <c r="E180" s="5" t="s">
        <v>20</v>
      </c>
      <c r="F180" s="4">
        <v>2</v>
      </c>
      <c r="G180" s="4">
        <v>0</v>
      </c>
      <c r="H180" s="4">
        <v>0</v>
      </c>
      <c r="I180" s="4">
        <v>0</v>
      </c>
      <c r="J180" s="4">
        <v>2</v>
      </c>
      <c r="K180" s="4">
        <v>55.31</v>
      </c>
      <c r="L180" s="4">
        <v>110.62</v>
      </c>
      <c r="M180" s="4">
        <v>0</v>
      </c>
      <c r="N180" s="4">
        <v>0</v>
      </c>
      <c r="O180" s="4">
        <v>0</v>
      </c>
      <c r="P180" s="6">
        <f t="shared" si="2"/>
        <v>110.62</v>
      </c>
    </row>
    <row r="181" spans="1:16" ht="36.75" outlineLevel="2" x14ac:dyDescent="0.2">
      <c r="A181" s="2">
        <v>100133</v>
      </c>
      <c r="B181" s="1"/>
      <c r="C181" s="2">
        <v>923195</v>
      </c>
      <c r="D181" s="3" t="s">
        <v>180</v>
      </c>
      <c r="E181" s="5" t="s">
        <v>20</v>
      </c>
      <c r="F181" s="4">
        <v>1</v>
      </c>
      <c r="G181" s="4">
        <v>0</v>
      </c>
      <c r="H181" s="4">
        <v>0</v>
      </c>
      <c r="I181" s="4">
        <v>0</v>
      </c>
      <c r="J181" s="4">
        <v>1</v>
      </c>
      <c r="K181" s="4">
        <v>51.22</v>
      </c>
      <c r="L181" s="4">
        <v>51.22</v>
      </c>
      <c r="M181" s="4">
        <v>0</v>
      </c>
      <c r="N181" s="4">
        <v>0</v>
      </c>
      <c r="O181" s="4">
        <v>0</v>
      </c>
      <c r="P181" s="6">
        <f t="shared" si="2"/>
        <v>51.22</v>
      </c>
    </row>
    <row r="182" spans="1:16" ht="27.75" outlineLevel="2" x14ac:dyDescent="0.2">
      <c r="A182" s="2">
        <v>100134</v>
      </c>
      <c r="B182" s="1"/>
      <c r="C182" s="2">
        <v>925347</v>
      </c>
      <c r="D182" s="3" t="s">
        <v>181</v>
      </c>
      <c r="E182" s="5" t="s">
        <v>20</v>
      </c>
      <c r="F182" s="4">
        <v>4</v>
      </c>
      <c r="G182" s="4">
        <v>0</v>
      </c>
      <c r="H182" s="4">
        <v>0</v>
      </c>
      <c r="I182" s="4">
        <v>0</v>
      </c>
      <c r="J182" s="4">
        <v>4</v>
      </c>
      <c r="K182" s="4">
        <v>21.77</v>
      </c>
      <c r="L182" s="4">
        <v>87.08</v>
      </c>
      <c r="M182" s="4">
        <v>0</v>
      </c>
      <c r="N182" s="4">
        <v>0</v>
      </c>
      <c r="O182" s="4">
        <v>0</v>
      </c>
      <c r="P182" s="6">
        <f t="shared" si="2"/>
        <v>87.08</v>
      </c>
    </row>
    <row r="183" spans="1:16" ht="27.75" outlineLevel="2" x14ac:dyDescent="0.2">
      <c r="A183" s="2">
        <v>100135</v>
      </c>
      <c r="B183" s="1"/>
      <c r="C183" s="2">
        <v>925348</v>
      </c>
      <c r="D183" s="3" t="s">
        <v>182</v>
      </c>
      <c r="E183" s="5" t="s">
        <v>20</v>
      </c>
      <c r="F183" s="4">
        <v>6</v>
      </c>
      <c r="G183" s="4">
        <v>1</v>
      </c>
      <c r="H183" s="4">
        <v>0</v>
      </c>
      <c r="I183" s="4">
        <v>1</v>
      </c>
      <c r="J183" s="4">
        <v>5</v>
      </c>
      <c r="K183" s="4">
        <v>82.23</v>
      </c>
      <c r="L183" s="4">
        <v>493.38</v>
      </c>
      <c r="M183" s="4">
        <v>82.23</v>
      </c>
      <c r="N183" s="4">
        <v>0</v>
      </c>
      <c r="O183" s="4">
        <v>82.23</v>
      </c>
      <c r="P183" s="6">
        <f t="shared" si="2"/>
        <v>411.15000000000003</v>
      </c>
    </row>
    <row r="184" spans="1:16" ht="36.75" outlineLevel="2" x14ac:dyDescent="0.2">
      <c r="A184" s="2">
        <v>100136</v>
      </c>
      <c r="B184" s="1"/>
      <c r="C184" s="2">
        <v>922467</v>
      </c>
      <c r="D184" s="3" t="s">
        <v>183</v>
      </c>
      <c r="E184" s="5" t="s">
        <v>20</v>
      </c>
      <c r="F184" s="4">
        <v>6</v>
      </c>
      <c r="G184" s="4">
        <v>0</v>
      </c>
      <c r="H184" s="4">
        <v>0</v>
      </c>
      <c r="I184" s="4">
        <v>0</v>
      </c>
      <c r="J184" s="4">
        <v>6</v>
      </c>
      <c r="K184" s="4">
        <v>66.239999999999995</v>
      </c>
      <c r="L184" s="4">
        <v>397.44</v>
      </c>
      <c r="M184" s="4">
        <v>0</v>
      </c>
      <c r="N184" s="4">
        <v>0</v>
      </c>
      <c r="O184" s="4">
        <v>0</v>
      </c>
      <c r="P184" s="6">
        <f t="shared" si="2"/>
        <v>397.43999999999994</v>
      </c>
    </row>
    <row r="185" spans="1:16" ht="36.75" outlineLevel="2" x14ac:dyDescent="0.2">
      <c r="A185" s="2">
        <v>100137</v>
      </c>
      <c r="B185" s="1"/>
      <c r="C185" s="2">
        <v>925349</v>
      </c>
      <c r="D185" s="3" t="s">
        <v>184</v>
      </c>
      <c r="E185" s="5" t="s">
        <v>15</v>
      </c>
      <c r="F185" s="4">
        <v>5.56</v>
      </c>
      <c r="G185" s="4">
        <v>0</v>
      </c>
      <c r="H185" s="4">
        <v>0</v>
      </c>
      <c r="I185" s="4">
        <v>0</v>
      </c>
      <c r="J185" s="4">
        <v>5.56</v>
      </c>
      <c r="K185" s="4">
        <v>31.16</v>
      </c>
      <c r="L185" s="4">
        <v>173.24</v>
      </c>
      <c r="M185" s="4">
        <v>0</v>
      </c>
      <c r="N185" s="4">
        <v>0</v>
      </c>
      <c r="O185" s="4">
        <v>0</v>
      </c>
      <c r="P185" s="6">
        <f t="shared" si="2"/>
        <v>173.24959999999999</v>
      </c>
    </row>
    <row r="186" spans="1:16" ht="36.75" outlineLevel="2" x14ac:dyDescent="0.2">
      <c r="A186" s="2">
        <v>100138</v>
      </c>
      <c r="B186" s="1"/>
      <c r="C186" s="2">
        <v>925350</v>
      </c>
      <c r="D186" s="3" t="s">
        <v>185</v>
      </c>
      <c r="E186" s="5" t="s">
        <v>20</v>
      </c>
      <c r="F186" s="4">
        <v>1</v>
      </c>
      <c r="G186" s="4">
        <v>0</v>
      </c>
      <c r="H186" s="4">
        <v>0</v>
      </c>
      <c r="I186" s="4">
        <v>0</v>
      </c>
      <c r="J186" s="4">
        <v>1</v>
      </c>
      <c r="K186" s="4">
        <v>40.54</v>
      </c>
      <c r="L186" s="4">
        <v>40.54</v>
      </c>
      <c r="M186" s="4">
        <v>0</v>
      </c>
      <c r="N186" s="4">
        <v>0</v>
      </c>
      <c r="O186" s="4">
        <v>0</v>
      </c>
      <c r="P186" s="6">
        <f t="shared" si="2"/>
        <v>40.54</v>
      </c>
    </row>
    <row r="187" spans="1:16" ht="36.75" outlineLevel="2" x14ac:dyDescent="0.2">
      <c r="A187" s="2">
        <v>100139</v>
      </c>
      <c r="B187" s="1"/>
      <c r="C187" s="2">
        <v>925351</v>
      </c>
      <c r="D187" s="3" t="s">
        <v>186</v>
      </c>
      <c r="E187" s="5" t="s">
        <v>20</v>
      </c>
      <c r="F187" s="4">
        <v>2</v>
      </c>
      <c r="G187" s="4">
        <v>0</v>
      </c>
      <c r="H187" s="4">
        <v>0</v>
      </c>
      <c r="I187" s="4">
        <v>0</v>
      </c>
      <c r="J187" s="4">
        <v>2</v>
      </c>
      <c r="K187" s="4">
        <v>43.57</v>
      </c>
      <c r="L187" s="4">
        <v>87.14</v>
      </c>
      <c r="M187" s="4">
        <v>0</v>
      </c>
      <c r="N187" s="4">
        <v>0</v>
      </c>
      <c r="O187" s="4">
        <v>0</v>
      </c>
      <c r="P187" s="6">
        <f t="shared" si="2"/>
        <v>87.14</v>
      </c>
    </row>
    <row r="188" spans="1:16" ht="36.75" outlineLevel="2" x14ac:dyDescent="0.2">
      <c r="A188" s="2">
        <v>100140</v>
      </c>
      <c r="B188" s="1"/>
      <c r="C188" s="2">
        <v>922356</v>
      </c>
      <c r="D188" s="3" t="s">
        <v>187</v>
      </c>
      <c r="E188" s="5" t="s">
        <v>20</v>
      </c>
      <c r="F188" s="4">
        <v>1</v>
      </c>
      <c r="G188" s="4">
        <v>0</v>
      </c>
      <c r="H188" s="4">
        <v>0</v>
      </c>
      <c r="I188" s="4">
        <v>0</v>
      </c>
      <c r="J188" s="4">
        <v>1</v>
      </c>
      <c r="K188" s="4">
        <v>54.43</v>
      </c>
      <c r="L188" s="4">
        <v>54.43</v>
      </c>
      <c r="M188" s="4">
        <v>0</v>
      </c>
      <c r="N188" s="4">
        <v>0</v>
      </c>
      <c r="O188" s="4">
        <v>0</v>
      </c>
      <c r="P188" s="6">
        <f t="shared" si="2"/>
        <v>54.43</v>
      </c>
    </row>
    <row r="189" spans="1:16" outlineLevel="2" x14ac:dyDescent="0.2">
      <c r="A189" s="2">
        <v>100141</v>
      </c>
      <c r="B189" s="1"/>
      <c r="C189" s="2">
        <v>296689</v>
      </c>
      <c r="D189" s="3" t="s">
        <v>188</v>
      </c>
      <c r="E189" s="5" t="s">
        <v>24</v>
      </c>
      <c r="F189" s="4">
        <v>37.700000000000003</v>
      </c>
      <c r="G189" s="4">
        <v>0</v>
      </c>
      <c r="H189" s="4">
        <v>0</v>
      </c>
      <c r="I189" s="4">
        <v>0</v>
      </c>
      <c r="J189" s="4">
        <v>37.700000000000003</v>
      </c>
      <c r="K189" s="4">
        <v>54.83</v>
      </c>
      <c r="L189" s="4">
        <v>2067.09</v>
      </c>
      <c r="M189" s="4">
        <v>0</v>
      </c>
      <c r="N189" s="4">
        <v>0</v>
      </c>
      <c r="O189" s="4">
        <v>0</v>
      </c>
      <c r="P189" s="6">
        <f t="shared" si="2"/>
        <v>2067.0909999999999</v>
      </c>
    </row>
    <row r="190" spans="1:16" ht="18.75" outlineLevel="2" x14ac:dyDescent="0.2">
      <c r="A190" s="2">
        <v>100142</v>
      </c>
      <c r="B190" s="1"/>
      <c r="C190" s="2">
        <v>921173</v>
      </c>
      <c r="D190" s="3" t="s">
        <v>189</v>
      </c>
      <c r="E190" s="5" t="s">
        <v>11</v>
      </c>
      <c r="F190" s="4">
        <v>36.61</v>
      </c>
      <c r="G190" s="4">
        <v>0</v>
      </c>
      <c r="H190" s="4">
        <v>0</v>
      </c>
      <c r="I190" s="4">
        <v>0</v>
      </c>
      <c r="J190" s="4">
        <v>36.61</v>
      </c>
      <c r="K190" s="4">
        <v>23.64</v>
      </c>
      <c r="L190" s="4">
        <v>865.46</v>
      </c>
      <c r="M190" s="4">
        <v>0</v>
      </c>
      <c r="N190" s="4">
        <v>0</v>
      </c>
      <c r="O190" s="4">
        <v>0</v>
      </c>
      <c r="P190" s="6">
        <f t="shared" si="2"/>
        <v>865.46040000000005</v>
      </c>
    </row>
    <row r="191" spans="1:16" ht="27.75" outlineLevel="2" x14ac:dyDescent="0.2">
      <c r="A191" s="2">
        <v>100143</v>
      </c>
      <c r="B191" s="1"/>
      <c r="C191" s="2">
        <v>925352</v>
      </c>
      <c r="D191" s="3" t="s">
        <v>190</v>
      </c>
      <c r="E191" s="5" t="s">
        <v>20</v>
      </c>
      <c r="F191" s="4">
        <v>2</v>
      </c>
      <c r="G191" s="4">
        <v>0</v>
      </c>
      <c r="H191" s="4">
        <v>0</v>
      </c>
      <c r="I191" s="4">
        <v>0</v>
      </c>
      <c r="J191" s="4">
        <v>2</v>
      </c>
      <c r="K191" s="4">
        <v>898.17</v>
      </c>
      <c r="L191" s="4">
        <v>1796.34</v>
      </c>
      <c r="M191" s="4">
        <v>0</v>
      </c>
      <c r="N191" s="4">
        <v>0</v>
      </c>
      <c r="O191" s="4">
        <v>0</v>
      </c>
      <c r="P191" s="6">
        <f t="shared" si="2"/>
        <v>1796.34</v>
      </c>
    </row>
    <row r="192" spans="1:16" ht="18.75" outlineLevel="2" x14ac:dyDescent="0.2">
      <c r="A192" s="2">
        <v>100144</v>
      </c>
      <c r="B192" s="1"/>
      <c r="C192" s="2">
        <v>925353</v>
      </c>
      <c r="D192" s="3" t="s">
        <v>191</v>
      </c>
      <c r="E192" s="5" t="s">
        <v>20</v>
      </c>
      <c r="F192" s="4">
        <v>1</v>
      </c>
      <c r="G192" s="4">
        <v>0</v>
      </c>
      <c r="H192" s="4">
        <v>0</v>
      </c>
      <c r="I192" s="4">
        <v>0</v>
      </c>
      <c r="J192" s="4">
        <v>1</v>
      </c>
      <c r="K192" s="4">
        <v>3292.4</v>
      </c>
      <c r="L192" s="4">
        <v>3292.4</v>
      </c>
      <c r="M192" s="4">
        <v>0</v>
      </c>
      <c r="N192" s="4">
        <v>0</v>
      </c>
      <c r="O192" s="4">
        <v>0</v>
      </c>
      <c r="P192" s="6">
        <f t="shared" si="2"/>
        <v>3292.4</v>
      </c>
    </row>
    <row r="193" spans="1:16" ht="18.75" outlineLevel="2" x14ac:dyDescent="0.2">
      <c r="A193" s="2">
        <v>100145</v>
      </c>
      <c r="B193" s="1"/>
      <c r="C193" s="2">
        <v>200036</v>
      </c>
      <c r="D193" s="3" t="s">
        <v>192</v>
      </c>
      <c r="E193" s="5" t="s">
        <v>25</v>
      </c>
      <c r="F193" s="4">
        <v>1</v>
      </c>
      <c r="G193" s="4">
        <v>0</v>
      </c>
      <c r="H193" s="4">
        <v>0</v>
      </c>
      <c r="I193" s="4">
        <v>0</v>
      </c>
      <c r="J193" s="4">
        <v>1</v>
      </c>
      <c r="K193" s="4">
        <v>62.24</v>
      </c>
      <c r="L193" s="4">
        <v>62.24</v>
      </c>
      <c r="M193" s="4">
        <v>0</v>
      </c>
      <c r="N193" s="4">
        <v>0</v>
      </c>
      <c r="O193" s="4">
        <v>0</v>
      </c>
      <c r="P193" s="6">
        <f t="shared" si="2"/>
        <v>62.24</v>
      </c>
    </row>
    <row r="194" spans="1:16" ht="18.75" outlineLevel="2" x14ac:dyDescent="0.2">
      <c r="A194" s="2">
        <v>100146</v>
      </c>
      <c r="B194" s="1"/>
      <c r="C194" s="2">
        <v>925354</v>
      </c>
      <c r="D194" s="3" t="s">
        <v>193</v>
      </c>
      <c r="E194" s="5" t="s">
        <v>20</v>
      </c>
      <c r="F194" s="4">
        <v>1</v>
      </c>
      <c r="G194" s="4">
        <v>0</v>
      </c>
      <c r="H194" s="4">
        <v>0</v>
      </c>
      <c r="I194" s="4">
        <v>0</v>
      </c>
      <c r="J194" s="4">
        <v>1</v>
      </c>
      <c r="K194" s="4">
        <v>96.26</v>
      </c>
      <c r="L194" s="4">
        <v>96.26</v>
      </c>
      <c r="M194" s="4">
        <v>0</v>
      </c>
      <c r="N194" s="4">
        <v>0</v>
      </c>
      <c r="O194" s="4">
        <v>0</v>
      </c>
      <c r="P194" s="6">
        <f t="shared" si="2"/>
        <v>96.26</v>
      </c>
    </row>
    <row r="195" spans="1:16" ht="18.75" outlineLevel="2" x14ac:dyDescent="0.2">
      <c r="A195" s="2">
        <v>100147</v>
      </c>
      <c r="B195" s="1"/>
      <c r="C195" s="2">
        <v>925355</v>
      </c>
      <c r="D195" s="3" t="s">
        <v>194</v>
      </c>
      <c r="E195" s="5" t="s">
        <v>20</v>
      </c>
      <c r="F195" s="4">
        <v>1</v>
      </c>
      <c r="G195" s="4">
        <v>0</v>
      </c>
      <c r="H195" s="4">
        <v>0</v>
      </c>
      <c r="I195" s="4">
        <v>0</v>
      </c>
      <c r="J195" s="4">
        <v>1</v>
      </c>
      <c r="K195" s="4">
        <v>8875.9699999999993</v>
      </c>
      <c r="L195" s="4">
        <v>8875.9699999999993</v>
      </c>
      <c r="M195" s="4">
        <v>0</v>
      </c>
      <c r="N195" s="4">
        <v>0</v>
      </c>
      <c r="O195" s="4">
        <v>0</v>
      </c>
      <c r="P195" s="6">
        <f t="shared" si="2"/>
        <v>8875.9699999999993</v>
      </c>
    </row>
    <row r="196" spans="1:16" x14ac:dyDescent="0.2">
      <c r="A196" s="1"/>
      <c r="B196" s="1"/>
      <c r="C196" s="1"/>
      <c r="D196" s="9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6">
        <f t="shared" si="2"/>
        <v>0</v>
      </c>
    </row>
    <row r="197" spans="1:16" x14ac:dyDescent="0.2">
      <c r="A197" s="1"/>
      <c r="B197" s="1"/>
      <c r="C197" s="1"/>
      <c r="D197" s="9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6">
        <f t="shared" si="2"/>
        <v>0</v>
      </c>
    </row>
    <row r="198" spans="1:16" outlineLevel="2" x14ac:dyDescent="0.2">
      <c r="A198" s="2">
        <v>110100</v>
      </c>
      <c r="B198" s="1"/>
      <c r="C198" s="2">
        <v>630787</v>
      </c>
      <c r="D198" s="7" t="s">
        <v>26</v>
      </c>
      <c r="E198" s="1"/>
      <c r="F198" s="4" t="s">
        <v>9</v>
      </c>
      <c r="G198" s="4">
        <v>0</v>
      </c>
      <c r="H198" s="4">
        <v>0</v>
      </c>
      <c r="I198" s="4">
        <v>0</v>
      </c>
      <c r="J198" s="4">
        <v>0</v>
      </c>
      <c r="K198" s="4" t="s">
        <v>9</v>
      </c>
      <c r="L198" s="4" t="s">
        <v>9</v>
      </c>
      <c r="M198" s="4">
        <v>0</v>
      </c>
      <c r="N198" s="4">
        <v>0</v>
      </c>
      <c r="O198" s="4">
        <v>0</v>
      </c>
      <c r="P198" s="6">
        <f t="shared" si="2"/>
        <v>0</v>
      </c>
    </row>
    <row r="199" spans="1:16" ht="18.75" outlineLevel="2" x14ac:dyDescent="0.2">
      <c r="A199" s="2">
        <v>110101</v>
      </c>
      <c r="B199" s="1"/>
      <c r="C199" s="2">
        <v>500011</v>
      </c>
      <c r="D199" s="3" t="s">
        <v>195</v>
      </c>
      <c r="E199" s="5" t="s">
        <v>15</v>
      </c>
      <c r="F199" s="4">
        <v>426.5</v>
      </c>
      <c r="G199" s="4">
        <v>0</v>
      </c>
      <c r="H199" s="4">
        <v>0</v>
      </c>
      <c r="I199" s="4">
        <v>0</v>
      </c>
      <c r="J199" s="4">
        <v>426.5</v>
      </c>
      <c r="K199" s="4">
        <v>250.72</v>
      </c>
      <c r="L199" s="4">
        <v>106932.08</v>
      </c>
      <c r="M199" s="4">
        <v>0</v>
      </c>
      <c r="N199" s="4">
        <v>0</v>
      </c>
      <c r="O199" s="4">
        <v>0</v>
      </c>
      <c r="P199" s="6">
        <f t="shared" si="2"/>
        <v>106932.08</v>
      </c>
    </row>
    <row r="200" spans="1:16" ht="27.75" outlineLevel="2" x14ac:dyDescent="0.2">
      <c r="A200" s="2">
        <v>110102</v>
      </c>
      <c r="B200" s="1"/>
      <c r="C200" s="2">
        <v>925356</v>
      </c>
      <c r="D200" s="3" t="s">
        <v>196</v>
      </c>
      <c r="E200" s="5" t="s">
        <v>15</v>
      </c>
      <c r="F200" s="4">
        <v>176.51</v>
      </c>
      <c r="G200" s="4">
        <v>0</v>
      </c>
      <c r="H200" s="4">
        <v>0</v>
      </c>
      <c r="I200" s="4">
        <v>0</v>
      </c>
      <c r="J200" s="4">
        <v>176.51</v>
      </c>
      <c r="K200" s="4">
        <v>35.67</v>
      </c>
      <c r="L200" s="4">
        <v>6296.11</v>
      </c>
      <c r="M200" s="4">
        <v>0</v>
      </c>
      <c r="N200" s="4">
        <v>0</v>
      </c>
      <c r="O200" s="4">
        <v>0</v>
      </c>
      <c r="P200" s="6">
        <f t="shared" si="2"/>
        <v>6296.1117000000004</v>
      </c>
    </row>
    <row r="201" spans="1:16" ht="27.75" outlineLevel="2" x14ac:dyDescent="0.2">
      <c r="A201" s="2">
        <v>110103</v>
      </c>
      <c r="B201" s="1"/>
      <c r="C201" s="2">
        <v>924010</v>
      </c>
      <c r="D201" s="3" t="s">
        <v>197</v>
      </c>
      <c r="E201" s="5" t="s">
        <v>15</v>
      </c>
      <c r="F201" s="4">
        <v>87.35</v>
      </c>
      <c r="G201" s="4">
        <v>0</v>
      </c>
      <c r="H201" s="4">
        <v>0</v>
      </c>
      <c r="I201" s="4">
        <v>0</v>
      </c>
      <c r="J201" s="4">
        <v>87.35</v>
      </c>
      <c r="K201" s="4">
        <v>39.450000000000003</v>
      </c>
      <c r="L201" s="4">
        <v>3445.95</v>
      </c>
      <c r="M201" s="4">
        <v>0</v>
      </c>
      <c r="N201" s="4">
        <v>0</v>
      </c>
      <c r="O201" s="4">
        <v>0</v>
      </c>
      <c r="P201" s="6">
        <f t="shared" si="2"/>
        <v>3445.9575</v>
      </c>
    </row>
    <row r="202" spans="1:16" ht="27.75" outlineLevel="2" x14ac:dyDescent="0.2">
      <c r="A202" s="2">
        <v>110104</v>
      </c>
      <c r="B202" s="1"/>
      <c r="C202" s="2">
        <v>925358</v>
      </c>
      <c r="D202" s="3" t="s">
        <v>198</v>
      </c>
      <c r="E202" s="5" t="s">
        <v>15</v>
      </c>
      <c r="F202" s="4">
        <v>180.27</v>
      </c>
      <c r="G202" s="4">
        <v>0</v>
      </c>
      <c r="H202" s="4">
        <v>0</v>
      </c>
      <c r="I202" s="4">
        <v>0</v>
      </c>
      <c r="J202" s="4">
        <v>180.27</v>
      </c>
      <c r="K202" s="4">
        <v>140.31</v>
      </c>
      <c r="L202" s="4">
        <v>25293.68</v>
      </c>
      <c r="M202" s="4">
        <v>0</v>
      </c>
      <c r="N202" s="4">
        <v>0</v>
      </c>
      <c r="O202" s="4">
        <v>0</v>
      </c>
      <c r="P202" s="6">
        <f t="shared" si="2"/>
        <v>25293.683700000001</v>
      </c>
    </row>
    <row r="203" spans="1:16" ht="27.75" outlineLevel="2" x14ac:dyDescent="0.2">
      <c r="A203" s="2">
        <v>110105</v>
      </c>
      <c r="B203" s="1"/>
      <c r="C203" s="2">
        <v>925359</v>
      </c>
      <c r="D203" s="3" t="s">
        <v>199</v>
      </c>
      <c r="E203" s="5" t="s">
        <v>15</v>
      </c>
      <c r="F203" s="4">
        <v>49.08</v>
      </c>
      <c r="G203" s="4">
        <v>0</v>
      </c>
      <c r="H203" s="4">
        <v>0</v>
      </c>
      <c r="I203" s="4">
        <v>0</v>
      </c>
      <c r="J203" s="4">
        <v>49.08</v>
      </c>
      <c r="K203" s="4">
        <v>205.05</v>
      </c>
      <c r="L203" s="4">
        <v>10063.85</v>
      </c>
      <c r="M203" s="4">
        <v>0</v>
      </c>
      <c r="N203" s="4">
        <v>0</v>
      </c>
      <c r="O203" s="4">
        <v>0</v>
      </c>
      <c r="P203" s="6">
        <f t="shared" si="2"/>
        <v>10063.853999999999</v>
      </c>
    </row>
    <row r="204" spans="1:16" ht="27.75" outlineLevel="2" x14ac:dyDescent="0.2">
      <c r="A204" s="2">
        <v>110106</v>
      </c>
      <c r="B204" s="1"/>
      <c r="C204" s="2">
        <v>925360</v>
      </c>
      <c r="D204" s="3" t="s">
        <v>200</v>
      </c>
      <c r="E204" s="5" t="s">
        <v>15</v>
      </c>
      <c r="F204" s="4">
        <v>63.1</v>
      </c>
      <c r="G204" s="4">
        <v>0</v>
      </c>
      <c r="H204" s="4">
        <v>0</v>
      </c>
      <c r="I204" s="4">
        <v>0</v>
      </c>
      <c r="J204" s="4">
        <v>63.1</v>
      </c>
      <c r="K204" s="4">
        <v>295.10000000000002</v>
      </c>
      <c r="L204" s="4">
        <v>18620.810000000001</v>
      </c>
      <c r="M204" s="4">
        <v>0</v>
      </c>
      <c r="N204" s="4">
        <v>0</v>
      </c>
      <c r="O204" s="4">
        <v>0</v>
      </c>
      <c r="P204" s="6">
        <f t="shared" si="2"/>
        <v>18620.810000000001</v>
      </c>
    </row>
    <row r="205" spans="1:16" ht="27.75" outlineLevel="2" x14ac:dyDescent="0.2">
      <c r="A205" s="2">
        <v>110107</v>
      </c>
      <c r="B205" s="1"/>
      <c r="C205" s="2">
        <v>925361</v>
      </c>
      <c r="D205" s="3" t="s">
        <v>201</v>
      </c>
      <c r="E205" s="5" t="s">
        <v>20</v>
      </c>
      <c r="F205" s="4">
        <v>30</v>
      </c>
      <c r="G205" s="4">
        <v>0</v>
      </c>
      <c r="H205" s="4">
        <v>0</v>
      </c>
      <c r="I205" s="4">
        <v>0</v>
      </c>
      <c r="J205" s="4">
        <v>30</v>
      </c>
      <c r="K205" s="4">
        <v>573.72</v>
      </c>
      <c r="L205" s="4">
        <v>17211.599999999999</v>
      </c>
      <c r="M205" s="4">
        <v>0</v>
      </c>
      <c r="N205" s="4">
        <v>0</v>
      </c>
      <c r="O205" s="4">
        <v>0</v>
      </c>
      <c r="P205" s="6">
        <f t="shared" si="2"/>
        <v>17211.600000000002</v>
      </c>
    </row>
    <row r="206" spans="1:16" x14ac:dyDescent="0.2">
      <c r="A206" s="1"/>
      <c r="B206" s="1"/>
      <c r="C206" s="1"/>
      <c r="D206" s="9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6">
        <f t="shared" si="2"/>
        <v>0</v>
      </c>
    </row>
    <row r="207" spans="1:16" x14ac:dyDescent="0.2">
      <c r="A207" s="1"/>
      <c r="B207" s="1"/>
      <c r="C207" s="1"/>
      <c r="D207" s="9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6">
        <f t="shared" si="2"/>
        <v>0</v>
      </c>
    </row>
    <row r="208" spans="1:16" outlineLevel="2" x14ac:dyDescent="0.2">
      <c r="A208" s="2">
        <v>120100</v>
      </c>
      <c r="B208" s="1"/>
      <c r="C208" s="2">
        <v>925362</v>
      </c>
      <c r="D208" s="7" t="s">
        <v>27</v>
      </c>
      <c r="E208" s="1"/>
      <c r="F208" s="4" t="s">
        <v>9</v>
      </c>
      <c r="G208" s="4">
        <v>0</v>
      </c>
      <c r="H208" s="4">
        <v>0</v>
      </c>
      <c r="I208" s="4">
        <v>0</v>
      </c>
      <c r="J208" s="4">
        <v>0</v>
      </c>
      <c r="K208" s="4" t="s">
        <v>9</v>
      </c>
      <c r="L208" s="4" t="s">
        <v>9</v>
      </c>
      <c r="M208" s="4">
        <v>0</v>
      </c>
      <c r="N208" s="4">
        <v>0</v>
      </c>
      <c r="O208" s="4">
        <v>0</v>
      </c>
      <c r="P208" s="6">
        <f t="shared" si="2"/>
        <v>0</v>
      </c>
    </row>
    <row r="209" spans="1:16" ht="27.75" outlineLevel="2" x14ac:dyDescent="0.2">
      <c r="A209" s="2">
        <v>120101</v>
      </c>
      <c r="B209" s="1"/>
      <c r="C209" s="2">
        <v>920985</v>
      </c>
      <c r="D209" s="3" t="s">
        <v>202</v>
      </c>
      <c r="E209" s="5" t="s">
        <v>15</v>
      </c>
      <c r="F209" s="4">
        <v>139.09</v>
      </c>
      <c r="G209" s="4">
        <v>9</v>
      </c>
      <c r="H209" s="4">
        <v>0</v>
      </c>
      <c r="I209" s="4">
        <v>9</v>
      </c>
      <c r="J209" s="4">
        <v>130.09</v>
      </c>
      <c r="K209" s="4">
        <v>12.74</v>
      </c>
      <c r="L209" s="4">
        <v>1772</v>
      </c>
      <c r="M209" s="4">
        <v>114.66</v>
      </c>
      <c r="N209" s="4">
        <v>0</v>
      </c>
      <c r="O209" s="4">
        <v>114.66</v>
      </c>
      <c r="P209" s="6">
        <f t="shared" si="2"/>
        <v>1657.3466000000001</v>
      </c>
    </row>
    <row r="210" spans="1:16" ht="27.75" outlineLevel="2" x14ac:dyDescent="0.2">
      <c r="A210" s="2">
        <v>120102</v>
      </c>
      <c r="B210" s="1"/>
      <c r="C210" s="2">
        <v>920573</v>
      </c>
      <c r="D210" s="3" t="s">
        <v>203</v>
      </c>
      <c r="E210" s="5" t="s">
        <v>15</v>
      </c>
      <c r="F210" s="4">
        <v>124.1</v>
      </c>
      <c r="G210" s="4">
        <v>9</v>
      </c>
      <c r="H210" s="4">
        <v>0</v>
      </c>
      <c r="I210" s="4">
        <v>9</v>
      </c>
      <c r="J210" s="4">
        <v>115.1</v>
      </c>
      <c r="K210" s="4">
        <v>18.89</v>
      </c>
      <c r="L210" s="4">
        <v>2344.2399999999998</v>
      </c>
      <c r="M210" s="4">
        <v>170.01</v>
      </c>
      <c r="N210" s="4">
        <v>0</v>
      </c>
      <c r="O210" s="4">
        <v>170.01</v>
      </c>
      <c r="P210" s="6">
        <f t="shared" si="2"/>
        <v>2174.239</v>
      </c>
    </row>
    <row r="211" spans="1:16" ht="27.75" outlineLevel="2" x14ac:dyDescent="0.2">
      <c r="A211" s="2">
        <v>120103</v>
      </c>
      <c r="B211" s="1"/>
      <c r="C211" s="2">
        <v>922487</v>
      </c>
      <c r="D211" s="3" t="s">
        <v>204</v>
      </c>
      <c r="E211" s="5" t="s">
        <v>15</v>
      </c>
      <c r="F211" s="4">
        <v>215.47</v>
      </c>
      <c r="G211" s="4">
        <v>3</v>
      </c>
      <c r="H211" s="4">
        <v>0</v>
      </c>
      <c r="I211" s="4">
        <v>3</v>
      </c>
      <c r="J211" s="4">
        <v>212.47</v>
      </c>
      <c r="K211" s="4">
        <v>28.39</v>
      </c>
      <c r="L211" s="4">
        <v>6117.19</v>
      </c>
      <c r="M211" s="4">
        <v>85.17</v>
      </c>
      <c r="N211" s="4">
        <v>0</v>
      </c>
      <c r="O211" s="4">
        <v>85.17</v>
      </c>
      <c r="P211" s="6">
        <f t="shared" si="2"/>
        <v>6032.0232999999998</v>
      </c>
    </row>
    <row r="212" spans="1:16" ht="27.75" outlineLevel="2" x14ac:dyDescent="0.2">
      <c r="A212" s="2">
        <v>120104</v>
      </c>
      <c r="B212" s="1"/>
      <c r="C212" s="2">
        <v>925357</v>
      </c>
      <c r="D212" s="3" t="s">
        <v>205</v>
      </c>
      <c r="E212" s="5" t="s">
        <v>15</v>
      </c>
      <c r="F212" s="4">
        <v>98.8</v>
      </c>
      <c r="G212" s="4">
        <v>0</v>
      </c>
      <c r="H212" s="4">
        <v>0</v>
      </c>
      <c r="I212" s="4">
        <v>0</v>
      </c>
      <c r="J212" s="4">
        <v>98.8</v>
      </c>
      <c r="K212" s="4">
        <v>18.760000000000002</v>
      </c>
      <c r="L212" s="4">
        <v>1853.48</v>
      </c>
      <c r="M212" s="4">
        <v>0</v>
      </c>
      <c r="N212" s="4">
        <v>0</v>
      </c>
      <c r="O212" s="4">
        <v>0</v>
      </c>
      <c r="P212" s="6">
        <f t="shared" si="2"/>
        <v>1853.4880000000001</v>
      </c>
    </row>
    <row r="213" spans="1:16" ht="27.75" outlineLevel="2" x14ac:dyDescent="0.2">
      <c r="A213" s="2">
        <v>120105</v>
      </c>
      <c r="B213" s="1"/>
      <c r="C213" s="2">
        <v>925363</v>
      </c>
      <c r="D213" s="3" t="s">
        <v>206</v>
      </c>
      <c r="E213" s="5" t="s">
        <v>15</v>
      </c>
      <c r="F213" s="4">
        <v>98.8</v>
      </c>
      <c r="G213" s="4">
        <v>3</v>
      </c>
      <c r="H213" s="4">
        <v>0</v>
      </c>
      <c r="I213" s="4">
        <v>3</v>
      </c>
      <c r="J213" s="4">
        <v>95.8</v>
      </c>
      <c r="K213" s="4">
        <v>33.83</v>
      </c>
      <c r="L213" s="4">
        <v>3342.4</v>
      </c>
      <c r="M213" s="4">
        <v>101.49</v>
      </c>
      <c r="N213" s="4">
        <v>0</v>
      </c>
      <c r="O213" s="4">
        <v>101.49</v>
      </c>
      <c r="P213" s="6">
        <f t="shared" si="2"/>
        <v>3240.9139999999998</v>
      </c>
    </row>
    <row r="214" spans="1:16" ht="36.75" outlineLevel="2" x14ac:dyDescent="0.2">
      <c r="A214" s="2">
        <v>120106</v>
      </c>
      <c r="B214" s="1"/>
      <c r="C214" s="2">
        <v>925364</v>
      </c>
      <c r="D214" s="3" t="s">
        <v>207</v>
      </c>
      <c r="E214" s="5" t="s">
        <v>20</v>
      </c>
      <c r="F214" s="4">
        <v>1</v>
      </c>
      <c r="G214" s="4">
        <v>0</v>
      </c>
      <c r="H214" s="4">
        <v>0</v>
      </c>
      <c r="I214" s="4">
        <v>0</v>
      </c>
      <c r="J214" s="4">
        <v>1</v>
      </c>
      <c r="K214" s="4">
        <v>1671.25</v>
      </c>
      <c r="L214" s="4">
        <v>1671.25</v>
      </c>
      <c r="M214" s="4">
        <v>0</v>
      </c>
      <c r="N214" s="4">
        <v>0</v>
      </c>
      <c r="O214" s="4">
        <v>0</v>
      </c>
      <c r="P214" s="6">
        <f t="shared" si="2"/>
        <v>1671.25</v>
      </c>
    </row>
    <row r="215" spans="1:16" ht="18.75" outlineLevel="2" x14ac:dyDescent="0.2">
      <c r="A215" s="2">
        <v>120107</v>
      </c>
      <c r="B215" s="1"/>
      <c r="C215" s="2">
        <v>925365</v>
      </c>
      <c r="D215" s="3" t="s">
        <v>208</v>
      </c>
      <c r="E215" s="5" t="s">
        <v>20</v>
      </c>
      <c r="F215" s="4">
        <v>2</v>
      </c>
      <c r="G215" s="4">
        <v>0</v>
      </c>
      <c r="H215" s="4">
        <v>0</v>
      </c>
      <c r="I215" s="4">
        <v>0</v>
      </c>
      <c r="J215" s="4">
        <v>2</v>
      </c>
      <c r="K215" s="4">
        <v>12313.72</v>
      </c>
      <c r="L215" s="4">
        <v>24627.439999999999</v>
      </c>
      <c r="M215" s="4">
        <v>0</v>
      </c>
      <c r="N215" s="4">
        <v>0</v>
      </c>
      <c r="O215" s="4">
        <v>0</v>
      </c>
      <c r="P215" s="6">
        <f t="shared" ref="P215:P278" si="3">PRODUCT(J215,K215)</f>
        <v>24627.439999999999</v>
      </c>
    </row>
    <row r="216" spans="1:16" ht="36.75" outlineLevel="2" x14ac:dyDescent="0.2">
      <c r="A216" s="2">
        <v>120108</v>
      </c>
      <c r="B216" s="1"/>
      <c r="C216" s="2">
        <v>922488</v>
      </c>
      <c r="D216" s="3" t="s">
        <v>209</v>
      </c>
      <c r="E216" s="5" t="s">
        <v>20</v>
      </c>
      <c r="F216" s="4">
        <v>8</v>
      </c>
      <c r="G216" s="4">
        <v>4</v>
      </c>
      <c r="H216" s="4">
        <v>0</v>
      </c>
      <c r="I216" s="4">
        <v>4</v>
      </c>
      <c r="J216" s="4">
        <v>4</v>
      </c>
      <c r="K216" s="4">
        <v>6.19</v>
      </c>
      <c r="L216" s="4">
        <v>49.52</v>
      </c>
      <c r="M216" s="4">
        <v>24.76</v>
      </c>
      <c r="N216" s="4">
        <v>0</v>
      </c>
      <c r="O216" s="4">
        <v>24.76</v>
      </c>
      <c r="P216" s="6">
        <f t="shared" si="3"/>
        <v>24.76</v>
      </c>
    </row>
    <row r="217" spans="1:16" ht="27.75" outlineLevel="2" x14ac:dyDescent="0.2">
      <c r="A217" s="2">
        <v>120109</v>
      </c>
      <c r="B217" s="1"/>
      <c r="C217" s="2">
        <v>925366</v>
      </c>
      <c r="D217" s="3" t="s">
        <v>210</v>
      </c>
      <c r="E217" s="5" t="s">
        <v>20</v>
      </c>
      <c r="F217" s="4">
        <v>88</v>
      </c>
      <c r="G217" s="4">
        <v>0</v>
      </c>
      <c r="H217" s="4">
        <v>0</v>
      </c>
      <c r="I217" s="4">
        <v>0</v>
      </c>
      <c r="J217" s="4">
        <v>88</v>
      </c>
      <c r="K217" s="4">
        <v>7.9</v>
      </c>
      <c r="L217" s="4">
        <v>695.2</v>
      </c>
      <c r="M217" s="4">
        <v>0</v>
      </c>
      <c r="N217" s="4">
        <v>0</v>
      </c>
      <c r="O217" s="4">
        <v>0</v>
      </c>
      <c r="P217" s="6">
        <f t="shared" si="3"/>
        <v>695.2</v>
      </c>
    </row>
    <row r="218" spans="1:16" ht="27.75" outlineLevel="2" x14ac:dyDescent="0.2">
      <c r="A218" s="2">
        <v>120110</v>
      </c>
      <c r="B218" s="1"/>
      <c r="C218" s="2">
        <v>922318</v>
      </c>
      <c r="D218" s="3" t="s">
        <v>211</v>
      </c>
      <c r="E218" s="5" t="s">
        <v>20</v>
      </c>
      <c r="F218" s="4">
        <v>1</v>
      </c>
      <c r="G218" s="4">
        <v>0</v>
      </c>
      <c r="H218" s="4">
        <v>0</v>
      </c>
      <c r="I218" s="4">
        <v>0</v>
      </c>
      <c r="J218" s="4">
        <v>1</v>
      </c>
      <c r="K218" s="4">
        <v>5.47</v>
      </c>
      <c r="L218" s="4">
        <v>5.47</v>
      </c>
      <c r="M218" s="4">
        <v>0</v>
      </c>
      <c r="N218" s="4">
        <v>0</v>
      </c>
      <c r="O218" s="4">
        <v>0</v>
      </c>
      <c r="P218" s="6">
        <f t="shared" si="3"/>
        <v>5.47</v>
      </c>
    </row>
    <row r="219" spans="1:16" ht="36.75" outlineLevel="2" x14ac:dyDescent="0.2">
      <c r="A219" s="2">
        <v>120111</v>
      </c>
      <c r="B219" s="1"/>
      <c r="C219" s="2">
        <v>924928</v>
      </c>
      <c r="D219" s="3" t="s">
        <v>212</v>
      </c>
      <c r="E219" s="5" t="s">
        <v>20</v>
      </c>
      <c r="F219" s="4">
        <v>65</v>
      </c>
      <c r="G219" s="4">
        <v>0</v>
      </c>
      <c r="H219" s="4">
        <v>0</v>
      </c>
      <c r="I219" s="4">
        <v>0</v>
      </c>
      <c r="J219" s="4">
        <v>65</v>
      </c>
      <c r="K219" s="4">
        <v>8.25</v>
      </c>
      <c r="L219" s="4">
        <v>536.25</v>
      </c>
      <c r="M219" s="4">
        <v>0</v>
      </c>
      <c r="N219" s="4">
        <v>0</v>
      </c>
      <c r="O219" s="4">
        <v>0</v>
      </c>
      <c r="P219" s="6">
        <f t="shared" si="3"/>
        <v>536.25</v>
      </c>
    </row>
    <row r="220" spans="1:16" ht="27.75" outlineLevel="2" x14ac:dyDescent="0.2">
      <c r="A220" s="2">
        <v>120112</v>
      </c>
      <c r="B220" s="1"/>
      <c r="C220" s="2">
        <v>920575</v>
      </c>
      <c r="D220" s="3" t="s">
        <v>213</v>
      </c>
      <c r="E220" s="5" t="s">
        <v>20</v>
      </c>
      <c r="F220" s="4">
        <v>12</v>
      </c>
      <c r="G220" s="4">
        <v>0</v>
      </c>
      <c r="H220" s="4">
        <v>0</v>
      </c>
      <c r="I220" s="4">
        <v>0</v>
      </c>
      <c r="J220" s="4">
        <v>12</v>
      </c>
      <c r="K220" s="4">
        <v>7.3</v>
      </c>
      <c r="L220" s="4">
        <v>87.6</v>
      </c>
      <c r="M220" s="4">
        <v>0</v>
      </c>
      <c r="N220" s="4">
        <v>0</v>
      </c>
      <c r="O220" s="4">
        <v>0</v>
      </c>
      <c r="P220" s="6">
        <f t="shared" si="3"/>
        <v>87.6</v>
      </c>
    </row>
    <row r="221" spans="1:16" ht="27.75" outlineLevel="2" x14ac:dyDescent="0.2">
      <c r="A221" s="2">
        <v>120113</v>
      </c>
      <c r="B221" s="1"/>
      <c r="C221" s="2">
        <v>920577</v>
      </c>
      <c r="D221" s="3" t="s">
        <v>214</v>
      </c>
      <c r="E221" s="5" t="s">
        <v>20</v>
      </c>
      <c r="F221" s="4">
        <v>21</v>
      </c>
      <c r="G221" s="4">
        <v>0</v>
      </c>
      <c r="H221" s="4">
        <v>0</v>
      </c>
      <c r="I221" s="4">
        <v>0</v>
      </c>
      <c r="J221" s="4">
        <v>21</v>
      </c>
      <c r="K221" s="4">
        <v>7.8</v>
      </c>
      <c r="L221" s="4">
        <v>163.80000000000001</v>
      </c>
      <c r="M221" s="4">
        <v>0</v>
      </c>
      <c r="N221" s="4">
        <v>0</v>
      </c>
      <c r="O221" s="4">
        <v>0</v>
      </c>
      <c r="P221" s="6">
        <f t="shared" si="3"/>
        <v>163.79999999999998</v>
      </c>
    </row>
    <row r="222" spans="1:16" ht="27.75" outlineLevel="2" x14ac:dyDescent="0.2">
      <c r="A222" s="2">
        <v>120114</v>
      </c>
      <c r="B222" s="1"/>
      <c r="C222" s="2">
        <v>925489</v>
      </c>
      <c r="D222" s="3" t="s">
        <v>215</v>
      </c>
      <c r="E222" s="5" t="s">
        <v>20</v>
      </c>
      <c r="F222" s="4">
        <v>9</v>
      </c>
      <c r="G222" s="4">
        <v>0</v>
      </c>
      <c r="H222" s="4">
        <v>0</v>
      </c>
      <c r="I222" s="4">
        <v>0</v>
      </c>
      <c r="J222" s="4">
        <v>9</v>
      </c>
      <c r="K222" s="4">
        <v>9.66</v>
      </c>
      <c r="L222" s="4">
        <v>86.94</v>
      </c>
      <c r="M222" s="4">
        <v>0</v>
      </c>
      <c r="N222" s="4">
        <v>0</v>
      </c>
      <c r="O222" s="4">
        <v>0</v>
      </c>
      <c r="P222" s="6">
        <f t="shared" si="3"/>
        <v>86.94</v>
      </c>
    </row>
    <row r="223" spans="1:16" ht="36.75" outlineLevel="2" x14ac:dyDescent="0.2">
      <c r="A223" s="2">
        <v>120115</v>
      </c>
      <c r="B223" s="1"/>
      <c r="C223" s="2">
        <v>925367</v>
      </c>
      <c r="D223" s="3" t="s">
        <v>216</v>
      </c>
      <c r="E223" s="5" t="s">
        <v>20</v>
      </c>
      <c r="F223" s="4">
        <v>11</v>
      </c>
      <c r="G223" s="4">
        <v>0</v>
      </c>
      <c r="H223" s="4">
        <v>0</v>
      </c>
      <c r="I223" s="4">
        <v>0</v>
      </c>
      <c r="J223" s="4">
        <v>11</v>
      </c>
      <c r="K223" s="4">
        <v>21.49</v>
      </c>
      <c r="L223" s="4">
        <v>236.39</v>
      </c>
      <c r="M223" s="4">
        <v>0</v>
      </c>
      <c r="N223" s="4">
        <v>0</v>
      </c>
      <c r="O223" s="4">
        <v>0</v>
      </c>
      <c r="P223" s="6">
        <f t="shared" si="3"/>
        <v>236.39</v>
      </c>
    </row>
    <row r="224" spans="1:16" ht="27.75" outlineLevel="2" x14ac:dyDescent="0.2">
      <c r="A224" s="2">
        <v>120116</v>
      </c>
      <c r="B224" s="1"/>
      <c r="C224" s="2">
        <v>923870</v>
      </c>
      <c r="D224" s="3" t="s">
        <v>217</v>
      </c>
      <c r="E224" s="5" t="s">
        <v>20</v>
      </c>
      <c r="F224" s="4">
        <v>12</v>
      </c>
      <c r="G224" s="4">
        <v>4</v>
      </c>
      <c r="H224" s="4">
        <v>0</v>
      </c>
      <c r="I224" s="4">
        <v>4</v>
      </c>
      <c r="J224" s="4">
        <v>8</v>
      </c>
      <c r="K224" s="4">
        <v>14.69</v>
      </c>
      <c r="L224" s="4">
        <v>176.28</v>
      </c>
      <c r="M224" s="4">
        <v>58.76</v>
      </c>
      <c r="N224" s="4">
        <v>0</v>
      </c>
      <c r="O224" s="4">
        <v>58.76</v>
      </c>
      <c r="P224" s="6">
        <f t="shared" si="3"/>
        <v>117.52</v>
      </c>
    </row>
    <row r="225" spans="1:16" ht="27.75" outlineLevel="2" x14ac:dyDescent="0.2">
      <c r="A225" s="2">
        <v>120117</v>
      </c>
      <c r="B225" s="1"/>
      <c r="C225" s="2">
        <v>924171</v>
      </c>
      <c r="D225" s="3" t="s">
        <v>218</v>
      </c>
      <c r="E225" s="5" t="s">
        <v>20</v>
      </c>
      <c r="F225" s="4">
        <v>4</v>
      </c>
      <c r="G225" s="4">
        <v>1</v>
      </c>
      <c r="H225" s="4">
        <v>0</v>
      </c>
      <c r="I225" s="4">
        <v>1</v>
      </c>
      <c r="J225" s="4">
        <v>3</v>
      </c>
      <c r="K225" s="4">
        <v>9.77</v>
      </c>
      <c r="L225" s="4">
        <v>39.08</v>
      </c>
      <c r="M225" s="4">
        <v>9.77</v>
      </c>
      <c r="N225" s="4">
        <v>0</v>
      </c>
      <c r="O225" s="4">
        <v>9.77</v>
      </c>
      <c r="P225" s="6">
        <f t="shared" si="3"/>
        <v>29.31</v>
      </c>
    </row>
    <row r="226" spans="1:16" ht="27.75" outlineLevel="2" x14ac:dyDescent="0.2">
      <c r="A226" s="2">
        <v>120118</v>
      </c>
      <c r="B226" s="1"/>
      <c r="C226" s="2">
        <v>925368</v>
      </c>
      <c r="D226" s="3" t="s">
        <v>219</v>
      </c>
      <c r="E226" s="5" t="s">
        <v>20</v>
      </c>
      <c r="F226" s="4">
        <v>4</v>
      </c>
      <c r="G226" s="4">
        <v>0</v>
      </c>
      <c r="H226" s="4">
        <v>0</v>
      </c>
      <c r="I226" s="4">
        <v>0</v>
      </c>
      <c r="J226" s="4">
        <v>4</v>
      </c>
      <c r="K226" s="4">
        <v>21.63</v>
      </c>
      <c r="L226" s="4">
        <v>86.52</v>
      </c>
      <c r="M226" s="4">
        <v>0</v>
      </c>
      <c r="N226" s="4">
        <v>0</v>
      </c>
      <c r="O226" s="4">
        <v>0</v>
      </c>
      <c r="P226" s="6">
        <f t="shared" si="3"/>
        <v>86.52</v>
      </c>
    </row>
    <row r="227" spans="1:16" ht="36.75" outlineLevel="2" x14ac:dyDescent="0.2">
      <c r="A227" s="2">
        <v>120119</v>
      </c>
      <c r="B227" s="1"/>
      <c r="C227" s="2">
        <v>925369</v>
      </c>
      <c r="D227" s="3" t="s">
        <v>220</v>
      </c>
      <c r="E227" s="5" t="s">
        <v>20</v>
      </c>
      <c r="F227" s="4">
        <v>6</v>
      </c>
      <c r="G227" s="4">
        <v>0</v>
      </c>
      <c r="H227" s="4">
        <v>0</v>
      </c>
      <c r="I227" s="4">
        <v>0</v>
      </c>
      <c r="J227" s="4">
        <v>6</v>
      </c>
      <c r="K227" s="4">
        <v>9.73</v>
      </c>
      <c r="L227" s="4">
        <v>58.38</v>
      </c>
      <c r="M227" s="4">
        <v>0</v>
      </c>
      <c r="N227" s="4">
        <v>0</v>
      </c>
      <c r="O227" s="4">
        <v>0</v>
      </c>
      <c r="P227" s="6">
        <f t="shared" si="3"/>
        <v>58.38</v>
      </c>
    </row>
    <row r="228" spans="1:16" ht="36.75" outlineLevel="2" x14ac:dyDescent="0.2">
      <c r="A228" s="2">
        <v>120120</v>
      </c>
      <c r="B228" s="1"/>
      <c r="C228" s="2">
        <v>925370</v>
      </c>
      <c r="D228" s="3" t="s">
        <v>221</v>
      </c>
      <c r="E228" s="5" t="s">
        <v>20</v>
      </c>
      <c r="F228" s="4">
        <v>9</v>
      </c>
      <c r="G228" s="4">
        <v>0</v>
      </c>
      <c r="H228" s="4">
        <v>0</v>
      </c>
      <c r="I228" s="4">
        <v>0</v>
      </c>
      <c r="J228" s="4">
        <v>9</v>
      </c>
      <c r="K228" s="4">
        <v>8.99</v>
      </c>
      <c r="L228" s="4">
        <v>80.91</v>
      </c>
      <c r="M228" s="4">
        <v>0</v>
      </c>
      <c r="N228" s="4">
        <v>0</v>
      </c>
      <c r="O228" s="4">
        <v>0</v>
      </c>
      <c r="P228" s="6">
        <f t="shared" si="3"/>
        <v>80.91</v>
      </c>
    </row>
    <row r="229" spans="1:16" ht="36.75" outlineLevel="2" x14ac:dyDescent="0.2">
      <c r="A229" s="2">
        <v>120121</v>
      </c>
      <c r="B229" s="1"/>
      <c r="C229" s="2">
        <v>925371</v>
      </c>
      <c r="D229" s="3" t="s">
        <v>222</v>
      </c>
      <c r="E229" s="5" t="s">
        <v>20</v>
      </c>
      <c r="F229" s="4">
        <v>4</v>
      </c>
      <c r="G229" s="4">
        <v>0</v>
      </c>
      <c r="H229" s="4">
        <v>0</v>
      </c>
      <c r="I229" s="4">
        <v>0</v>
      </c>
      <c r="J229" s="4">
        <v>4</v>
      </c>
      <c r="K229" s="4">
        <v>18.309999999999999</v>
      </c>
      <c r="L229" s="4">
        <v>73.239999999999995</v>
      </c>
      <c r="M229" s="4">
        <v>0</v>
      </c>
      <c r="N229" s="4">
        <v>0</v>
      </c>
      <c r="O229" s="4">
        <v>0</v>
      </c>
      <c r="P229" s="6">
        <f t="shared" si="3"/>
        <v>73.239999999999995</v>
      </c>
    </row>
    <row r="230" spans="1:16" ht="18.75" outlineLevel="2" x14ac:dyDescent="0.2">
      <c r="A230" s="2">
        <v>120122</v>
      </c>
      <c r="B230" s="1"/>
      <c r="C230" s="2">
        <v>925372</v>
      </c>
      <c r="D230" s="3" t="s">
        <v>223</v>
      </c>
      <c r="E230" s="5" t="s">
        <v>20</v>
      </c>
      <c r="F230" s="4">
        <v>14</v>
      </c>
      <c r="G230" s="4">
        <v>0</v>
      </c>
      <c r="H230" s="4">
        <v>0</v>
      </c>
      <c r="I230" s="4">
        <v>0</v>
      </c>
      <c r="J230" s="4">
        <v>14</v>
      </c>
      <c r="K230" s="4">
        <v>26.78</v>
      </c>
      <c r="L230" s="4">
        <v>374.92</v>
      </c>
      <c r="M230" s="4">
        <v>0</v>
      </c>
      <c r="N230" s="4">
        <v>0</v>
      </c>
      <c r="O230" s="4">
        <v>0</v>
      </c>
      <c r="P230" s="6">
        <f t="shared" si="3"/>
        <v>374.92</v>
      </c>
    </row>
    <row r="231" spans="1:16" ht="36.75" outlineLevel="2" x14ac:dyDescent="0.2">
      <c r="A231" s="2">
        <v>120123</v>
      </c>
      <c r="B231" s="1"/>
      <c r="C231" s="2">
        <v>925373</v>
      </c>
      <c r="D231" s="3" t="s">
        <v>224</v>
      </c>
      <c r="E231" s="5" t="s">
        <v>20</v>
      </c>
      <c r="F231" s="4">
        <v>12</v>
      </c>
      <c r="G231" s="4">
        <v>0</v>
      </c>
      <c r="H231" s="4">
        <v>0</v>
      </c>
      <c r="I231" s="4">
        <v>0</v>
      </c>
      <c r="J231" s="4">
        <v>12</v>
      </c>
      <c r="K231" s="4">
        <v>16.18</v>
      </c>
      <c r="L231" s="4">
        <v>194.16</v>
      </c>
      <c r="M231" s="4">
        <v>0</v>
      </c>
      <c r="N231" s="4">
        <v>0</v>
      </c>
      <c r="O231" s="4">
        <v>0</v>
      </c>
      <c r="P231" s="6">
        <f t="shared" si="3"/>
        <v>194.16</v>
      </c>
    </row>
    <row r="232" spans="1:16" ht="36.75" outlineLevel="2" x14ac:dyDescent="0.2">
      <c r="A232" s="2">
        <v>120124</v>
      </c>
      <c r="B232" s="1"/>
      <c r="C232" s="2">
        <v>925374</v>
      </c>
      <c r="D232" s="3" t="s">
        <v>225</v>
      </c>
      <c r="E232" s="5" t="s">
        <v>20</v>
      </c>
      <c r="F232" s="4">
        <v>12</v>
      </c>
      <c r="G232" s="4">
        <v>0</v>
      </c>
      <c r="H232" s="4">
        <v>0</v>
      </c>
      <c r="I232" s="4">
        <v>0</v>
      </c>
      <c r="J232" s="4">
        <v>12</v>
      </c>
      <c r="K232" s="4">
        <v>16.13</v>
      </c>
      <c r="L232" s="4">
        <v>193.56</v>
      </c>
      <c r="M232" s="4">
        <v>0</v>
      </c>
      <c r="N232" s="4">
        <v>0</v>
      </c>
      <c r="O232" s="4">
        <v>0</v>
      </c>
      <c r="P232" s="6">
        <f t="shared" si="3"/>
        <v>193.56</v>
      </c>
    </row>
    <row r="233" spans="1:16" ht="27.75" outlineLevel="2" x14ac:dyDescent="0.2">
      <c r="A233" s="2">
        <v>120125</v>
      </c>
      <c r="B233" s="1"/>
      <c r="C233" s="2">
        <v>925375</v>
      </c>
      <c r="D233" s="3" t="s">
        <v>226</v>
      </c>
      <c r="E233" s="5" t="s">
        <v>20</v>
      </c>
      <c r="F233" s="4">
        <v>19</v>
      </c>
      <c r="G233" s="4">
        <v>2</v>
      </c>
      <c r="H233" s="4">
        <v>2</v>
      </c>
      <c r="I233" s="4">
        <v>4</v>
      </c>
      <c r="J233" s="4">
        <v>15</v>
      </c>
      <c r="K233" s="4">
        <v>8.08</v>
      </c>
      <c r="L233" s="4">
        <v>153.52000000000001</v>
      </c>
      <c r="M233" s="4">
        <v>16.16</v>
      </c>
      <c r="N233" s="4">
        <v>16.16</v>
      </c>
      <c r="O233" s="4">
        <v>32.32</v>
      </c>
      <c r="P233" s="6">
        <f t="shared" si="3"/>
        <v>121.2</v>
      </c>
    </row>
    <row r="234" spans="1:16" ht="27.75" outlineLevel="2" x14ac:dyDescent="0.2">
      <c r="A234" s="2">
        <v>120126</v>
      </c>
      <c r="B234" s="1"/>
      <c r="C234" s="2">
        <v>922682</v>
      </c>
      <c r="D234" s="3" t="s">
        <v>227</v>
      </c>
      <c r="E234" s="5" t="s">
        <v>20</v>
      </c>
      <c r="F234" s="4">
        <v>1</v>
      </c>
      <c r="G234" s="4">
        <v>0</v>
      </c>
      <c r="H234" s="4">
        <v>0</v>
      </c>
      <c r="I234" s="4">
        <v>0</v>
      </c>
      <c r="J234" s="4">
        <v>1</v>
      </c>
      <c r="K234" s="4">
        <v>8.25</v>
      </c>
      <c r="L234" s="4">
        <v>8.25</v>
      </c>
      <c r="M234" s="4">
        <v>0</v>
      </c>
      <c r="N234" s="4">
        <v>0</v>
      </c>
      <c r="O234" s="4">
        <v>0</v>
      </c>
      <c r="P234" s="6">
        <f t="shared" si="3"/>
        <v>8.25</v>
      </c>
    </row>
    <row r="235" spans="1:16" ht="18.75" outlineLevel="2" x14ac:dyDescent="0.2">
      <c r="A235" s="2">
        <v>120127</v>
      </c>
      <c r="B235" s="1"/>
      <c r="C235" s="2">
        <v>925376</v>
      </c>
      <c r="D235" s="3" t="s">
        <v>228</v>
      </c>
      <c r="E235" s="5" t="s">
        <v>20</v>
      </c>
      <c r="F235" s="4">
        <v>9</v>
      </c>
      <c r="G235" s="4">
        <v>0</v>
      </c>
      <c r="H235" s="4">
        <v>0</v>
      </c>
      <c r="I235" s="4">
        <v>0</v>
      </c>
      <c r="J235" s="4">
        <v>9</v>
      </c>
      <c r="K235" s="4">
        <v>1577.59</v>
      </c>
      <c r="L235" s="4">
        <v>14198.31</v>
      </c>
      <c r="M235" s="4">
        <v>0</v>
      </c>
      <c r="N235" s="4">
        <v>0</v>
      </c>
      <c r="O235" s="4">
        <v>0</v>
      </c>
      <c r="P235" s="6">
        <f t="shared" si="3"/>
        <v>14198.31</v>
      </c>
    </row>
    <row r="236" spans="1:16" ht="45.75" outlineLevel="2" x14ac:dyDescent="0.2">
      <c r="A236" s="2">
        <v>120128</v>
      </c>
      <c r="B236" s="1"/>
      <c r="C236" s="2">
        <v>925377</v>
      </c>
      <c r="D236" s="3" t="s">
        <v>229</v>
      </c>
      <c r="E236" s="5" t="s">
        <v>20</v>
      </c>
      <c r="F236" s="4">
        <v>13</v>
      </c>
      <c r="G236" s="4">
        <v>0</v>
      </c>
      <c r="H236" s="4">
        <v>0</v>
      </c>
      <c r="I236" s="4">
        <v>0</v>
      </c>
      <c r="J236" s="4">
        <v>13</v>
      </c>
      <c r="K236" s="4">
        <v>138.79</v>
      </c>
      <c r="L236" s="4">
        <v>1804.27</v>
      </c>
      <c r="M236" s="4">
        <v>0</v>
      </c>
      <c r="N236" s="4">
        <v>0</v>
      </c>
      <c r="O236" s="4">
        <v>0</v>
      </c>
      <c r="P236" s="6">
        <f t="shared" si="3"/>
        <v>1804.27</v>
      </c>
    </row>
    <row r="237" spans="1:16" x14ac:dyDescent="0.2">
      <c r="A237" s="1"/>
      <c r="B237" s="1"/>
      <c r="C237" s="1"/>
      <c r="D237" s="9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6">
        <f t="shared" si="3"/>
        <v>0</v>
      </c>
    </row>
    <row r="238" spans="1:16" x14ac:dyDescent="0.2">
      <c r="A238" s="1"/>
      <c r="B238" s="1"/>
      <c r="C238" s="1"/>
      <c r="D238" s="9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6">
        <f t="shared" si="3"/>
        <v>0</v>
      </c>
    </row>
    <row r="239" spans="1:16" outlineLevel="2" x14ac:dyDescent="0.2">
      <c r="A239" s="2">
        <v>130100</v>
      </c>
      <c r="B239" s="1"/>
      <c r="C239" s="2">
        <v>925073</v>
      </c>
      <c r="D239" s="7" t="s">
        <v>28</v>
      </c>
      <c r="E239" s="1"/>
      <c r="F239" s="4" t="s">
        <v>9</v>
      </c>
      <c r="G239" s="4">
        <v>0</v>
      </c>
      <c r="H239" s="4">
        <v>0</v>
      </c>
      <c r="I239" s="4">
        <v>0</v>
      </c>
      <c r="J239" s="4">
        <v>0</v>
      </c>
      <c r="K239" s="4" t="s">
        <v>9</v>
      </c>
      <c r="L239" s="4" t="s">
        <v>9</v>
      </c>
      <c r="M239" s="4">
        <v>0</v>
      </c>
      <c r="N239" s="4">
        <v>0</v>
      </c>
      <c r="O239" s="4">
        <v>0</v>
      </c>
      <c r="P239" s="6">
        <f t="shared" si="3"/>
        <v>0</v>
      </c>
    </row>
    <row r="240" spans="1:16" ht="18.75" outlineLevel="2" x14ac:dyDescent="0.2">
      <c r="A240" s="2">
        <v>130101</v>
      </c>
      <c r="B240" s="1"/>
      <c r="C240" s="2">
        <v>920529</v>
      </c>
      <c r="D240" s="3" t="s">
        <v>230</v>
      </c>
      <c r="E240" s="5" t="s">
        <v>10</v>
      </c>
      <c r="F240" s="4">
        <v>9.6</v>
      </c>
      <c r="G240" s="4">
        <v>0</v>
      </c>
      <c r="H240" s="4">
        <v>0</v>
      </c>
      <c r="I240" s="4">
        <v>0</v>
      </c>
      <c r="J240" s="4">
        <v>9.6</v>
      </c>
      <c r="K240" s="4">
        <v>331.57</v>
      </c>
      <c r="L240" s="4">
        <v>3183.07</v>
      </c>
      <c r="M240" s="4">
        <v>0</v>
      </c>
      <c r="N240" s="4">
        <v>0</v>
      </c>
      <c r="O240" s="4">
        <v>0</v>
      </c>
      <c r="P240" s="6">
        <f t="shared" si="3"/>
        <v>3183.0719999999997</v>
      </c>
    </row>
    <row r="241" spans="1:16" ht="27.75" outlineLevel="2" x14ac:dyDescent="0.2">
      <c r="A241" s="2">
        <v>130102</v>
      </c>
      <c r="B241" s="1"/>
      <c r="C241" s="2">
        <v>922376</v>
      </c>
      <c r="D241" s="3" t="s">
        <v>231</v>
      </c>
      <c r="E241" s="5" t="s">
        <v>20</v>
      </c>
      <c r="F241" s="4">
        <v>21</v>
      </c>
      <c r="G241" s="4">
        <v>0</v>
      </c>
      <c r="H241" s="4">
        <v>0</v>
      </c>
      <c r="I241" s="4">
        <v>0</v>
      </c>
      <c r="J241" s="4">
        <v>21</v>
      </c>
      <c r="K241" s="4">
        <v>53.75</v>
      </c>
      <c r="L241" s="4">
        <v>1128.75</v>
      </c>
      <c r="M241" s="4">
        <v>0</v>
      </c>
      <c r="N241" s="4">
        <v>0</v>
      </c>
      <c r="O241" s="4">
        <v>0</v>
      </c>
      <c r="P241" s="6">
        <f t="shared" si="3"/>
        <v>1128.75</v>
      </c>
    </row>
    <row r="242" spans="1:16" ht="18.75" outlineLevel="2" x14ac:dyDescent="0.2">
      <c r="A242" s="2">
        <v>130103</v>
      </c>
      <c r="B242" s="1"/>
      <c r="C242" s="2">
        <v>923171</v>
      </c>
      <c r="D242" s="3" t="s">
        <v>232</v>
      </c>
      <c r="E242" s="5" t="s">
        <v>20</v>
      </c>
      <c r="F242" s="4">
        <v>16</v>
      </c>
      <c r="G242" s="4">
        <v>0</v>
      </c>
      <c r="H242" s="4">
        <v>0</v>
      </c>
      <c r="I242" s="4">
        <v>0</v>
      </c>
      <c r="J242" s="4">
        <v>16</v>
      </c>
      <c r="K242" s="4">
        <v>34.93</v>
      </c>
      <c r="L242" s="4">
        <v>558.88</v>
      </c>
      <c r="M242" s="4">
        <v>0</v>
      </c>
      <c r="N242" s="4">
        <v>0</v>
      </c>
      <c r="O242" s="4">
        <v>0</v>
      </c>
      <c r="P242" s="6">
        <f t="shared" si="3"/>
        <v>558.88</v>
      </c>
    </row>
    <row r="243" spans="1:16" ht="27.75" outlineLevel="2" x14ac:dyDescent="0.2">
      <c r="A243" s="2">
        <v>130104</v>
      </c>
      <c r="B243" s="1"/>
      <c r="C243" s="2">
        <v>923452</v>
      </c>
      <c r="D243" s="3" t="s">
        <v>233</v>
      </c>
      <c r="E243" s="5" t="s">
        <v>20</v>
      </c>
      <c r="F243" s="4">
        <v>4</v>
      </c>
      <c r="G243" s="4">
        <v>0</v>
      </c>
      <c r="H243" s="4">
        <v>0</v>
      </c>
      <c r="I243" s="4">
        <v>0</v>
      </c>
      <c r="J243" s="4">
        <v>4</v>
      </c>
      <c r="K243" s="4">
        <v>154.43</v>
      </c>
      <c r="L243" s="4">
        <v>617.72</v>
      </c>
      <c r="M243" s="4">
        <v>0</v>
      </c>
      <c r="N243" s="4">
        <v>0</v>
      </c>
      <c r="O243" s="4">
        <v>0</v>
      </c>
      <c r="P243" s="6">
        <f t="shared" si="3"/>
        <v>617.72</v>
      </c>
    </row>
    <row r="244" spans="1:16" ht="45.75" outlineLevel="2" x14ac:dyDescent="0.2">
      <c r="A244" s="2">
        <v>130105</v>
      </c>
      <c r="B244" s="1"/>
      <c r="C244" s="2">
        <v>925378</v>
      </c>
      <c r="D244" s="3" t="s">
        <v>234</v>
      </c>
      <c r="E244" s="5" t="s">
        <v>20</v>
      </c>
      <c r="F244" s="4">
        <v>3</v>
      </c>
      <c r="G244" s="4">
        <v>0</v>
      </c>
      <c r="H244" s="4">
        <v>0</v>
      </c>
      <c r="I244" s="4">
        <v>0</v>
      </c>
      <c r="J244" s="4">
        <v>3</v>
      </c>
      <c r="K244" s="4">
        <v>249.14</v>
      </c>
      <c r="L244" s="4">
        <v>747.42</v>
      </c>
      <c r="M244" s="4">
        <v>0</v>
      </c>
      <c r="N244" s="4">
        <v>0</v>
      </c>
      <c r="O244" s="4">
        <v>0</v>
      </c>
      <c r="P244" s="6">
        <f t="shared" si="3"/>
        <v>747.42</v>
      </c>
    </row>
    <row r="245" spans="1:16" ht="27.75" outlineLevel="2" x14ac:dyDescent="0.2">
      <c r="A245" s="2">
        <v>130106</v>
      </c>
      <c r="B245" s="1"/>
      <c r="C245" s="2">
        <v>925379</v>
      </c>
      <c r="D245" s="3" t="s">
        <v>235</v>
      </c>
      <c r="E245" s="5" t="s">
        <v>20</v>
      </c>
      <c r="F245" s="4">
        <v>14</v>
      </c>
      <c r="G245" s="4">
        <v>0</v>
      </c>
      <c r="H245" s="4">
        <v>0</v>
      </c>
      <c r="I245" s="4">
        <v>0</v>
      </c>
      <c r="J245" s="4">
        <v>14</v>
      </c>
      <c r="K245" s="4">
        <v>143.80000000000001</v>
      </c>
      <c r="L245" s="4">
        <v>2013.2</v>
      </c>
      <c r="M245" s="4">
        <v>0</v>
      </c>
      <c r="N245" s="4">
        <v>0</v>
      </c>
      <c r="O245" s="4">
        <v>0</v>
      </c>
      <c r="P245" s="6">
        <f t="shared" si="3"/>
        <v>2013.2000000000003</v>
      </c>
    </row>
    <row r="246" spans="1:16" ht="27.75" outlineLevel="2" x14ac:dyDescent="0.2">
      <c r="A246" s="2">
        <v>130107</v>
      </c>
      <c r="B246" s="1"/>
      <c r="C246" s="2">
        <v>924259</v>
      </c>
      <c r="D246" s="3" t="s">
        <v>236</v>
      </c>
      <c r="E246" s="5" t="s">
        <v>20</v>
      </c>
      <c r="F246" s="4">
        <v>8</v>
      </c>
      <c r="G246" s="4">
        <v>0</v>
      </c>
      <c r="H246" s="4">
        <v>0</v>
      </c>
      <c r="I246" s="4">
        <v>0</v>
      </c>
      <c r="J246" s="4">
        <v>8</v>
      </c>
      <c r="K246" s="4">
        <v>716.31</v>
      </c>
      <c r="L246" s="4">
        <v>5730.48</v>
      </c>
      <c r="M246" s="4">
        <v>0</v>
      </c>
      <c r="N246" s="4">
        <v>0</v>
      </c>
      <c r="O246" s="4">
        <v>0</v>
      </c>
      <c r="P246" s="6">
        <f t="shared" si="3"/>
        <v>5730.48</v>
      </c>
    </row>
    <row r="247" spans="1:16" ht="18.75" outlineLevel="2" x14ac:dyDescent="0.2">
      <c r="A247" s="2">
        <v>130108</v>
      </c>
      <c r="B247" s="1"/>
      <c r="C247" s="2">
        <v>925380</v>
      </c>
      <c r="D247" s="3" t="s">
        <v>237</v>
      </c>
      <c r="E247" s="5" t="s">
        <v>20</v>
      </c>
      <c r="F247" s="4">
        <v>13</v>
      </c>
      <c r="G247" s="4">
        <v>0</v>
      </c>
      <c r="H247" s="4">
        <v>0</v>
      </c>
      <c r="I247" s="4">
        <v>0</v>
      </c>
      <c r="J247" s="4">
        <v>13</v>
      </c>
      <c r="K247" s="4">
        <v>50.02</v>
      </c>
      <c r="L247" s="4">
        <v>650.26</v>
      </c>
      <c r="M247" s="4">
        <v>0</v>
      </c>
      <c r="N247" s="4">
        <v>0</v>
      </c>
      <c r="O247" s="4">
        <v>0</v>
      </c>
      <c r="P247" s="6">
        <f t="shared" si="3"/>
        <v>650.26</v>
      </c>
    </row>
    <row r="248" spans="1:16" ht="27.75" outlineLevel="2" x14ac:dyDescent="0.2">
      <c r="A248" s="2">
        <v>130109</v>
      </c>
      <c r="B248" s="1"/>
      <c r="C248" s="2">
        <v>925390</v>
      </c>
      <c r="D248" s="3" t="s">
        <v>238</v>
      </c>
      <c r="E248" s="5" t="s">
        <v>20</v>
      </c>
      <c r="F248" s="4">
        <v>4</v>
      </c>
      <c r="G248" s="4">
        <v>0</v>
      </c>
      <c r="H248" s="4">
        <v>0</v>
      </c>
      <c r="I248" s="4">
        <v>0</v>
      </c>
      <c r="J248" s="4">
        <v>4</v>
      </c>
      <c r="K248" s="4">
        <v>135.18</v>
      </c>
      <c r="L248" s="4">
        <v>540.72</v>
      </c>
      <c r="M248" s="4">
        <v>0</v>
      </c>
      <c r="N248" s="4">
        <v>0</v>
      </c>
      <c r="O248" s="4">
        <v>0</v>
      </c>
      <c r="P248" s="6">
        <f t="shared" si="3"/>
        <v>540.72</v>
      </c>
    </row>
    <row r="249" spans="1:16" ht="45.75" outlineLevel="2" x14ac:dyDescent="0.2">
      <c r="A249" s="2">
        <v>130110</v>
      </c>
      <c r="B249" s="1"/>
      <c r="C249" s="2">
        <v>922107</v>
      </c>
      <c r="D249" s="3" t="s">
        <v>239</v>
      </c>
      <c r="E249" s="5" t="s">
        <v>20</v>
      </c>
      <c r="F249" s="4">
        <v>1</v>
      </c>
      <c r="G249" s="4">
        <v>0</v>
      </c>
      <c r="H249" s="4">
        <v>0</v>
      </c>
      <c r="I249" s="4">
        <v>0</v>
      </c>
      <c r="J249" s="4">
        <v>1</v>
      </c>
      <c r="K249" s="4">
        <v>723.51</v>
      </c>
      <c r="L249" s="4">
        <v>723.51</v>
      </c>
      <c r="M249" s="4">
        <v>0</v>
      </c>
      <c r="N249" s="4">
        <v>0</v>
      </c>
      <c r="O249" s="4">
        <v>0</v>
      </c>
      <c r="P249" s="6">
        <f t="shared" si="3"/>
        <v>723.51</v>
      </c>
    </row>
    <row r="250" spans="1:16" ht="27.75" outlineLevel="2" x14ac:dyDescent="0.2">
      <c r="A250" s="2">
        <v>130111</v>
      </c>
      <c r="B250" s="1"/>
      <c r="C250" s="2">
        <v>920581</v>
      </c>
      <c r="D250" s="3" t="s">
        <v>240</v>
      </c>
      <c r="E250" s="5" t="s">
        <v>20</v>
      </c>
      <c r="F250" s="4">
        <v>11</v>
      </c>
      <c r="G250" s="4">
        <v>0</v>
      </c>
      <c r="H250" s="4">
        <v>0</v>
      </c>
      <c r="I250" s="4">
        <v>0</v>
      </c>
      <c r="J250" s="4">
        <v>11</v>
      </c>
      <c r="K250" s="4">
        <v>192.15</v>
      </c>
      <c r="L250" s="4">
        <v>2113.65</v>
      </c>
      <c r="M250" s="4">
        <v>0</v>
      </c>
      <c r="N250" s="4">
        <v>0</v>
      </c>
      <c r="O250" s="4">
        <v>0</v>
      </c>
      <c r="P250" s="6">
        <f t="shared" si="3"/>
        <v>2113.65</v>
      </c>
    </row>
    <row r="251" spans="1:16" ht="27.75" outlineLevel="2" x14ac:dyDescent="0.2">
      <c r="A251" s="2">
        <v>130112</v>
      </c>
      <c r="B251" s="1"/>
      <c r="C251" s="2">
        <v>925391</v>
      </c>
      <c r="D251" s="3" t="s">
        <v>241</v>
      </c>
      <c r="E251" s="5" t="s">
        <v>20</v>
      </c>
      <c r="F251" s="4">
        <v>1</v>
      </c>
      <c r="G251" s="4">
        <v>0</v>
      </c>
      <c r="H251" s="4">
        <v>0</v>
      </c>
      <c r="I251" s="4">
        <v>0</v>
      </c>
      <c r="J251" s="4">
        <v>1</v>
      </c>
      <c r="K251" s="4">
        <v>329.87</v>
      </c>
      <c r="L251" s="4">
        <v>329.87</v>
      </c>
      <c r="M251" s="4">
        <v>0</v>
      </c>
      <c r="N251" s="4">
        <v>0</v>
      </c>
      <c r="O251" s="4">
        <v>0</v>
      </c>
      <c r="P251" s="6">
        <f t="shared" si="3"/>
        <v>329.87</v>
      </c>
    </row>
    <row r="252" spans="1:16" ht="18.75" outlineLevel="2" x14ac:dyDescent="0.2">
      <c r="A252" s="2">
        <v>130113</v>
      </c>
      <c r="B252" s="1"/>
      <c r="C252" s="2">
        <v>922377</v>
      </c>
      <c r="D252" s="3" t="s">
        <v>159</v>
      </c>
      <c r="E252" s="5" t="s">
        <v>20</v>
      </c>
      <c r="F252" s="4">
        <v>1</v>
      </c>
      <c r="G252" s="4">
        <v>0</v>
      </c>
      <c r="H252" s="4">
        <v>0</v>
      </c>
      <c r="I252" s="4">
        <v>0</v>
      </c>
      <c r="J252" s="4">
        <v>1</v>
      </c>
      <c r="K252" s="4">
        <v>34.159999999999997</v>
      </c>
      <c r="L252" s="4">
        <v>34.159999999999997</v>
      </c>
      <c r="M252" s="4">
        <v>0</v>
      </c>
      <c r="N252" s="4">
        <v>0</v>
      </c>
      <c r="O252" s="4">
        <v>0</v>
      </c>
      <c r="P252" s="6">
        <f t="shared" si="3"/>
        <v>34.159999999999997</v>
      </c>
    </row>
    <row r="253" spans="1:16" ht="18.75" outlineLevel="2" x14ac:dyDescent="0.2">
      <c r="A253" s="2">
        <v>130114</v>
      </c>
      <c r="B253" s="1"/>
      <c r="C253" s="2">
        <v>925392</v>
      </c>
      <c r="D253" s="3" t="s">
        <v>242</v>
      </c>
      <c r="E253" s="5" t="s">
        <v>10</v>
      </c>
      <c r="F253" s="4">
        <v>0.75</v>
      </c>
      <c r="G253" s="4">
        <v>0</v>
      </c>
      <c r="H253" s="4">
        <v>0</v>
      </c>
      <c r="I253" s="4">
        <v>0</v>
      </c>
      <c r="J253" s="4">
        <v>0.75</v>
      </c>
      <c r="K253" s="4">
        <v>593.37</v>
      </c>
      <c r="L253" s="4">
        <v>445.02</v>
      </c>
      <c r="M253" s="4">
        <v>0</v>
      </c>
      <c r="N253" s="4">
        <v>0</v>
      </c>
      <c r="O253" s="4">
        <v>0</v>
      </c>
      <c r="P253" s="6">
        <f t="shared" si="3"/>
        <v>445.02750000000003</v>
      </c>
    </row>
    <row r="254" spans="1:16" ht="18.75" outlineLevel="2" x14ac:dyDescent="0.2">
      <c r="A254" s="2">
        <v>130115</v>
      </c>
      <c r="B254" s="1"/>
      <c r="C254" s="2">
        <v>659180</v>
      </c>
      <c r="D254" s="3" t="s">
        <v>243</v>
      </c>
      <c r="E254" s="5" t="s">
        <v>20</v>
      </c>
      <c r="F254" s="4">
        <v>9</v>
      </c>
      <c r="G254" s="4">
        <v>0</v>
      </c>
      <c r="H254" s="4">
        <v>0</v>
      </c>
      <c r="I254" s="4">
        <v>0</v>
      </c>
      <c r="J254" s="4">
        <v>9</v>
      </c>
      <c r="K254" s="4">
        <v>58.87</v>
      </c>
      <c r="L254" s="4">
        <v>529.83000000000004</v>
      </c>
      <c r="M254" s="4">
        <v>0</v>
      </c>
      <c r="N254" s="4">
        <v>0</v>
      </c>
      <c r="O254" s="4">
        <v>0</v>
      </c>
      <c r="P254" s="6">
        <f t="shared" si="3"/>
        <v>529.82999999999993</v>
      </c>
    </row>
    <row r="255" spans="1:16" ht="27.75" outlineLevel="2" x14ac:dyDescent="0.2">
      <c r="A255" s="2">
        <v>130116</v>
      </c>
      <c r="B255" s="1"/>
      <c r="C255" s="2">
        <v>922675</v>
      </c>
      <c r="D255" s="3" t="s">
        <v>244</v>
      </c>
      <c r="E255" s="5" t="s">
        <v>20</v>
      </c>
      <c r="F255" s="4">
        <v>9</v>
      </c>
      <c r="G255" s="4">
        <v>0</v>
      </c>
      <c r="H255" s="4">
        <v>0</v>
      </c>
      <c r="I255" s="4">
        <v>0</v>
      </c>
      <c r="J255" s="4">
        <v>9</v>
      </c>
      <c r="K255" s="4">
        <v>52.65</v>
      </c>
      <c r="L255" s="4">
        <v>473.85</v>
      </c>
      <c r="M255" s="4">
        <v>0</v>
      </c>
      <c r="N255" s="4">
        <v>0</v>
      </c>
      <c r="O255" s="4">
        <v>0</v>
      </c>
      <c r="P255" s="6">
        <f t="shared" si="3"/>
        <v>473.84999999999997</v>
      </c>
    </row>
    <row r="256" spans="1:16" ht="18.75" outlineLevel="2" x14ac:dyDescent="0.2">
      <c r="A256" s="2">
        <v>130117</v>
      </c>
      <c r="B256" s="1"/>
      <c r="C256" s="2">
        <v>925393</v>
      </c>
      <c r="D256" s="3" t="s">
        <v>245</v>
      </c>
      <c r="E256" s="5" t="s">
        <v>20</v>
      </c>
      <c r="F256" s="4">
        <v>15</v>
      </c>
      <c r="G256" s="4">
        <v>0</v>
      </c>
      <c r="H256" s="4">
        <v>0</v>
      </c>
      <c r="I256" s="4">
        <v>0</v>
      </c>
      <c r="J256" s="4">
        <v>15</v>
      </c>
      <c r="K256" s="4">
        <v>27.42</v>
      </c>
      <c r="L256" s="4">
        <v>411.3</v>
      </c>
      <c r="M256" s="4">
        <v>0</v>
      </c>
      <c r="N256" s="4">
        <v>0</v>
      </c>
      <c r="O256" s="4">
        <v>0</v>
      </c>
      <c r="P256" s="6">
        <f t="shared" si="3"/>
        <v>411.3</v>
      </c>
    </row>
    <row r="257" spans="1:16" ht="36.75" outlineLevel="2" x14ac:dyDescent="0.2">
      <c r="A257" s="2">
        <v>130118</v>
      </c>
      <c r="B257" s="1"/>
      <c r="C257" s="2">
        <v>925394</v>
      </c>
      <c r="D257" s="3" t="s">
        <v>246</v>
      </c>
      <c r="E257" s="5" t="s">
        <v>10</v>
      </c>
      <c r="F257" s="4">
        <v>6.6</v>
      </c>
      <c r="G257" s="4">
        <v>0</v>
      </c>
      <c r="H257" s="4">
        <v>0</v>
      </c>
      <c r="I257" s="4">
        <v>0</v>
      </c>
      <c r="J257" s="4">
        <v>6.6</v>
      </c>
      <c r="K257" s="4">
        <v>119.41</v>
      </c>
      <c r="L257" s="4">
        <v>788.1</v>
      </c>
      <c r="M257" s="4">
        <v>0</v>
      </c>
      <c r="N257" s="4">
        <v>0</v>
      </c>
      <c r="O257" s="4">
        <v>0</v>
      </c>
      <c r="P257" s="6">
        <f t="shared" si="3"/>
        <v>788.10599999999988</v>
      </c>
    </row>
    <row r="258" spans="1:16" ht="18.75" outlineLevel="2" x14ac:dyDescent="0.2">
      <c r="A258" s="2">
        <v>130119</v>
      </c>
      <c r="B258" s="1"/>
      <c r="C258" s="2">
        <v>923552</v>
      </c>
      <c r="D258" s="3" t="s">
        <v>247</v>
      </c>
      <c r="E258" s="5" t="s">
        <v>10</v>
      </c>
      <c r="F258" s="4">
        <v>66.959999999999994</v>
      </c>
      <c r="G258" s="4">
        <v>0</v>
      </c>
      <c r="H258" s="4">
        <v>0</v>
      </c>
      <c r="I258" s="4">
        <v>0</v>
      </c>
      <c r="J258" s="4">
        <v>66.959999999999994</v>
      </c>
      <c r="K258" s="4">
        <v>30.74</v>
      </c>
      <c r="L258" s="4">
        <v>2058.35</v>
      </c>
      <c r="M258" s="4">
        <v>0</v>
      </c>
      <c r="N258" s="4">
        <v>0</v>
      </c>
      <c r="O258" s="4">
        <v>0</v>
      </c>
      <c r="P258" s="6">
        <f t="shared" si="3"/>
        <v>2058.3503999999998</v>
      </c>
    </row>
    <row r="259" spans="1:16" ht="27.75" outlineLevel="2" x14ac:dyDescent="0.2">
      <c r="A259" s="2">
        <v>130120</v>
      </c>
      <c r="B259" s="1"/>
      <c r="C259" s="2">
        <v>925395</v>
      </c>
      <c r="D259" s="3" t="s">
        <v>248</v>
      </c>
      <c r="E259" s="5" t="s">
        <v>20</v>
      </c>
      <c r="F259" s="4">
        <v>6</v>
      </c>
      <c r="G259" s="4">
        <v>0</v>
      </c>
      <c r="H259" s="4">
        <v>0</v>
      </c>
      <c r="I259" s="4">
        <v>0</v>
      </c>
      <c r="J259" s="4">
        <v>6</v>
      </c>
      <c r="K259" s="4">
        <v>2133.09</v>
      </c>
      <c r="L259" s="4">
        <v>12798.54</v>
      </c>
      <c r="M259" s="4">
        <v>0</v>
      </c>
      <c r="N259" s="4">
        <v>0</v>
      </c>
      <c r="O259" s="4">
        <v>0</v>
      </c>
      <c r="P259" s="6">
        <f t="shared" si="3"/>
        <v>12798.54</v>
      </c>
    </row>
    <row r="260" spans="1:16" ht="27.75" outlineLevel="2" x14ac:dyDescent="0.2">
      <c r="A260" s="2">
        <v>130121</v>
      </c>
      <c r="B260" s="1"/>
      <c r="C260" s="2">
        <v>925396</v>
      </c>
      <c r="D260" s="3" t="s">
        <v>249</v>
      </c>
      <c r="E260" s="5" t="s">
        <v>20</v>
      </c>
      <c r="F260" s="4">
        <v>6</v>
      </c>
      <c r="G260" s="4">
        <v>0</v>
      </c>
      <c r="H260" s="4">
        <v>0</v>
      </c>
      <c r="I260" s="4">
        <v>0</v>
      </c>
      <c r="J260" s="4">
        <v>6</v>
      </c>
      <c r="K260" s="4">
        <v>545.13</v>
      </c>
      <c r="L260" s="4">
        <v>3270.78</v>
      </c>
      <c r="M260" s="4">
        <v>0</v>
      </c>
      <c r="N260" s="4">
        <v>0</v>
      </c>
      <c r="O260" s="4">
        <v>0</v>
      </c>
      <c r="P260" s="6">
        <f t="shared" si="3"/>
        <v>3270.7799999999997</v>
      </c>
    </row>
    <row r="261" spans="1:16" ht="36.75" outlineLevel="2" x14ac:dyDescent="0.2">
      <c r="A261" s="2">
        <v>130122</v>
      </c>
      <c r="B261" s="1"/>
      <c r="C261" s="2">
        <v>922668</v>
      </c>
      <c r="D261" s="3" t="s">
        <v>250</v>
      </c>
      <c r="E261" s="5" t="s">
        <v>10</v>
      </c>
      <c r="F261" s="4">
        <v>48.38</v>
      </c>
      <c r="G261" s="4">
        <v>0</v>
      </c>
      <c r="H261" s="4">
        <v>0</v>
      </c>
      <c r="I261" s="4">
        <v>0</v>
      </c>
      <c r="J261" s="4">
        <v>48.38</v>
      </c>
      <c r="K261" s="4">
        <v>709.38</v>
      </c>
      <c r="L261" s="4">
        <v>34319.800000000003</v>
      </c>
      <c r="M261" s="4">
        <v>0</v>
      </c>
      <c r="N261" s="4">
        <v>0</v>
      </c>
      <c r="O261" s="4">
        <v>0</v>
      </c>
      <c r="P261" s="6">
        <f t="shared" si="3"/>
        <v>34319.804400000001</v>
      </c>
    </row>
    <row r="262" spans="1:16" ht="27.75" outlineLevel="2" x14ac:dyDescent="0.2">
      <c r="A262" s="2">
        <v>130123</v>
      </c>
      <c r="B262" s="1"/>
      <c r="C262" s="2">
        <v>920898</v>
      </c>
      <c r="D262" s="3" t="s">
        <v>251</v>
      </c>
      <c r="E262" s="5" t="s">
        <v>15</v>
      </c>
      <c r="F262" s="4">
        <v>4.8</v>
      </c>
      <c r="G262" s="4">
        <v>0</v>
      </c>
      <c r="H262" s="4">
        <v>0</v>
      </c>
      <c r="I262" s="4">
        <v>0</v>
      </c>
      <c r="J262" s="4">
        <v>4.8</v>
      </c>
      <c r="K262" s="4">
        <v>68.459999999999994</v>
      </c>
      <c r="L262" s="4">
        <v>328.6</v>
      </c>
      <c r="M262" s="4">
        <v>0</v>
      </c>
      <c r="N262" s="4">
        <v>0</v>
      </c>
      <c r="O262" s="4">
        <v>0</v>
      </c>
      <c r="P262" s="6">
        <f t="shared" si="3"/>
        <v>328.60799999999995</v>
      </c>
    </row>
    <row r="263" spans="1:16" ht="27.75" outlineLevel="2" x14ac:dyDescent="0.2">
      <c r="A263" s="2">
        <v>130124</v>
      </c>
      <c r="B263" s="1"/>
      <c r="C263" s="2">
        <v>925397</v>
      </c>
      <c r="D263" s="3" t="s">
        <v>252</v>
      </c>
      <c r="E263" s="5" t="s">
        <v>20</v>
      </c>
      <c r="F263" s="4">
        <v>12</v>
      </c>
      <c r="G263" s="4">
        <v>0</v>
      </c>
      <c r="H263" s="4">
        <v>0</v>
      </c>
      <c r="I263" s="4">
        <v>0</v>
      </c>
      <c r="J263" s="4">
        <v>12</v>
      </c>
      <c r="K263" s="4">
        <v>59.56</v>
      </c>
      <c r="L263" s="4">
        <v>714.72</v>
      </c>
      <c r="M263" s="4">
        <v>0</v>
      </c>
      <c r="N263" s="4">
        <v>0</v>
      </c>
      <c r="O263" s="4">
        <v>0</v>
      </c>
      <c r="P263" s="6">
        <f t="shared" si="3"/>
        <v>714.72</v>
      </c>
    </row>
    <row r="264" spans="1:16" ht="18.75" outlineLevel="2" x14ac:dyDescent="0.2">
      <c r="A264" s="2">
        <v>130125</v>
      </c>
      <c r="B264" s="1"/>
      <c r="C264" s="2">
        <v>925398</v>
      </c>
      <c r="D264" s="3" t="s">
        <v>253</v>
      </c>
      <c r="E264" s="5" t="s">
        <v>20</v>
      </c>
      <c r="F264" s="4">
        <v>6</v>
      </c>
      <c r="G264" s="4">
        <v>0</v>
      </c>
      <c r="H264" s="4">
        <v>0</v>
      </c>
      <c r="I264" s="4">
        <v>0</v>
      </c>
      <c r="J264" s="4">
        <v>6</v>
      </c>
      <c r="K264" s="4">
        <v>89.17</v>
      </c>
      <c r="L264" s="4">
        <v>535.02</v>
      </c>
      <c r="M264" s="4">
        <v>0</v>
      </c>
      <c r="N264" s="4">
        <v>0</v>
      </c>
      <c r="O264" s="4">
        <v>0</v>
      </c>
      <c r="P264" s="6">
        <f t="shared" si="3"/>
        <v>535.02</v>
      </c>
    </row>
    <row r="265" spans="1:16" ht="27.75" outlineLevel="2" x14ac:dyDescent="0.2">
      <c r="A265" s="2">
        <v>130126</v>
      </c>
      <c r="B265" s="1"/>
      <c r="C265" s="2">
        <v>921961</v>
      </c>
      <c r="D265" s="3" t="s">
        <v>122</v>
      </c>
      <c r="E265" s="5" t="s">
        <v>10</v>
      </c>
      <c r="F265" s="4">
        <v>33.479999999999997</v>
      </c>
      <c r="G265" s="4">
        <v>0</v>
      </c>
      <c r="H265" s="4">
        <v>0</v>
      </c>
      <c r="I265" s="4">
        <v>0</v>
      </c>
      <c r="J265" s="4">
        <v>33.479999999999997</v>
      </c>
      <c r="K265" s="4">
        <v>34.4</v>
      </c>
      <c r="L265" s="4">
        <v>1151.71</v>
      </c>
      <c r="M265" s="4">
        <v>0</v>
      </c>
      <c r="N265" s="4">
        <v>0</v>
      </c>
      <c r="O265" s="4">
        <v>0</v>
      </c>
      <c r="P265" s="6">
        <f t="shared" si="3"/>
        <v>1151.7119999999998</v>
      </c>
    </row>
    <row r="266" spans="1:16" ht="36.75" outlineLevel="2" x14ac:dyDescent="0.2">
      <c r="A266" s="2">
        <v>130127</v>
      </c>
      <c r="B266" s="1"/>
      <c r="C266" s="2">
        <v>920526</v>
      </c>
      <c r="D266" s="3" t="s">
        <v>254</v>
      </c>
      <c r="E266" s="5" t="s">
        <v>10</v>
      </c>
      <c r="F266" s="4">
        <v>59.4</v>
      </c>
      <c r="G266" s="4">
        <v>0</v>
      </c>
      <c r="H266" s="4">
        <v>0</v>
      </c>
      <c r="I266" s="4">
        <v>0</v>
      </c>
      <c r="J266" s="4">
        <v>59.4</v>
      </c>
      <c r="K266" s="4">
        <v>44.77</v>
      </c>
      <c r="L266" s="4">
        <v>2659.33</v>
      </c>
      <c r="M266" s="4">
        <v>0</v>
      </c>
      <c r="N266" s="4">
        <v>0</v>
      </c>
      <c r="O266" s="4">
        <v>0</v>
      </c>
      <c r="P266" s="6">
        <f t="shared" si="3"/>
        <v>2659.3380000000002</v>
      </c>
    </row>
    <row r="267" spans="1:16" ht="18.75" outlineLevel="2" x14ac:dyDescent="0.2">
      <c r="A267" s="2">
        <v>130128</v>
      </c>
      <c r="B267" s="1"/>
      <c r="C267" s="2">
        <v>922117</v>
      </c>
      <c r="D267" s="3" t="s">
        <v>128</v>
      </c>
      <c r="E267" s="5" t="s">
        <v>10</v>
      </c>
      <c r="F267" s="4">
        <v>40.68</v>
      </c>
      <c r="G267" s="4">
        <v>0</v>
      </c>
      <c r="H267" s="4">
        <v>0</v>
      </c>
      <c r="I267" s="4">
        <v>0</v>
      </c>
      <c r="J267" s="4">
        <v>40.68</v>
      </c>
      <c r="K267" s="4">
        <v>10.46</v>
      </c>
      <c r="L267" s="4">
        <v>425.51</v>
      </c>
      <c r="M267" s="4">
        <v>0</v>
      </c>
      <c r="N267" s="4">
        <v>0</v>
      </c>
      <c r="O267" s="4">
        <v>0</v>
      </c>
      <c r="P267" s="6">
        <f t="shared" si="3"/>
        <v>425.51280000000003</v>
      </c>
    </row>
    <row r="268" spans="1:16" ht="36.75" outlineLevel="2" x14ac:dyDescent="0.2">
      <c r="A268" s="2">
        <v>130129</v>
      </c>
      <c r="B268" s="1"/>
      <c r="C268" s="2">
        <v>659158</v>
      </c>
      <c r="D268" s="3" t="s">
        <v>255</v>
      </c>
      <c r="E268" s="5" t="s">
        <v>20</v>
      </c>
      <c r="F268" s="4">
        <v>6</v>
      </c>
      <c r="G268" s="4">
        <v>0</v>
      </c>
      <c r="H268" s="4">
        <v>0</v>
      </c>
      <c r="I268" s="4">
        <v>0</v>
      </c>
      <c r="J268" s="4">
        <v>6</v>
      </c>
      <c r="K268" s="4">
        <v>496.1</v>
      </c>
      <c r="L268" s="4">
        <v>2976.6</v>
      </c>
      <c r="M268" s="4">
        <v>0</v>
      </c>
      <c r="N268" s="4">
        <v>0</v>
      </c>
      <c r="O268" s="4">
        <v>0</v>
      </c>
      <c r="P268" s="6">
        <f t="shared" si="3"/>
        <v>2976.6000000000004</v>
      </c>
    </row>
    <row r="269" spans="1:16" ht="18.75" outlineLevel="2" x14ac:dyDescent="0.2">
      <c r="A269" s="2">
        <v>130130</v>
      </c>
      <c r="B269" s="1"/>
      <c r="C269" s="2">
        <v>925399</v>
      </c>
      <c r="D269" s="3" t="s">
        <v>256</v>
      </c>
      <c r="E269" s="5" t="s">
        <v>20</v>
      </c>
      <c r="F269" s="4">
        <v>2</v>
      </c>
      <c r="G269" s="4">
        <v>0</v>
      </c>
      <c r="H269" s="4">
        <v>0</v>
      </c>
      <c r="I269" s="4">
        <v>0</v>
      </c>
      <c r="J269" s="4">
        <v>2</v>
      </c>
      <c r="K269" s="4">
        <v>578.65</v>
      </c>
      <c r="L269" s="4">
        <v>1157.3</v>
      </c>
      <c r="M269" s="4">
        <v>0</v>
      </c>
      <c r="N269" s="4">
        <v>0</v>
      </c>
      <c r="O269" s="4">
        <v>0</v>
      </c>
      <c r="P269" s="6">
        <f t="shared" si="3"/>
        <v>1157.3</v>
      </c>
    </row>
    <row r="270" spans="1:16" ht="18.75" outlineLevel="2" x14ac:dyDescent="0.2">
      <c r="A270" s="2">
        <v>130131</v>
      </c>
      <c r="B270" s="1"/>
      <c r="C270" s="2">
        <v>925400</v>
      </c>
      <c r="D270" s="3" t="s">
        <v>257</v>
      </c>
      <c r="E270" s="5" t="s">
        <v>20</v>
      </c>
      <c r="F270" s="4">
        <v>2</v>
      </c>
      <c r="G270" s="4">
        <v>0</v>
      </c>
      <c r="H270" s="4">
        <v>0</v>
      </c>
      <c r="I270" s="4">
        <v>0</v>
      </c>
      <c r="J270" s="4">
        <v>2</v>
      </c>
      <c r="K270" s="4">
        <v>621.57000000000005</v>
      </c>
      <c r="L270" s="4">
        <v>1243.1400000000001</v>
      </c>
      <c r="M270" s="4">
        <v>0</v>
      </c>
      <c r="N270" s="4">
        <v>0</v>
      </c>
      <c r="O270" s="4">
        <v>0</v>
      </c>
      <c r="P270" s="6">
        <f t="shared" si="3"/>
        <v>1243.1400000000001</v>
      </c>
    </row>
    <row r="271" spans="1:16" ht="27.75" outlineLevel="2" x14ac:dyDescent="0.2">
      <c r="A271" s="2">
        <v>130132</v>
      </c>
      <c r="B271" s="1"/>
      <c r="C271" s="2">
        <v>925401</v>
      </c>
      <c r="D271" s="3" t="s">
        <v>258</v>
      </c>
      <c r="E271" s="5" t="s">
        <v>20</v>
      </c>
      <c r="F271" s="4">
        <v>2</v>
      </c>
      <c r="G271" s="4">
        <v>0</v>
      </c>
      <c r="H271" s="4">
        <v>0</v>
      </c>
      <c r="I271" s="4">
        <v>0</v>
      </c>
      <c r="J271" s="4">
        <v>2</v>
      </c>
      <c r="K271" s="4">
        <v>271.19</v>
      </c>
      <c r="L271" s="4">
        <v>542.38</v>
      </c>
      <c r="M271" s="4">
        <v>0</v>
      </c>
      <c r="N271" s="4">
        <v>0</v>
      </c>
      <c r="O271" s="4">
        <v>0</v>
      </c>
      <c r="P271" s="6">
        <f t="shared" si="3"/>
        <v>542.38</v>
      </c>
    </row>
    <row r="272" spans="1:16" x14ac:dyDescent="0.2">
      <c r="A272" s="1"/>
      <c r="B272" s="1"/>
      <c r="C272" s="1"/>
      <c r="D272" s="9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6">
        <f t="shared" si="3"/>
        <v>0</v>
      </c>
    </row>
    <row r="273" spans="1:16" x14ac:dyDescent="0.2">
      <c r="A273" s="1"/>
      <c r="B273" s="1"/>
      <c r="C273" s="1"/>
      <c r="D273" s="9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6">
        <f t="shared" si="3"/>
        <v>0</v>
      </c>
    </row>
    <row r="274" spans="1:16" outlineLevel="2" x14ac:dyDescent="0.2">
      <c r="A274" s="2">
        <v>140100</v>
      </c>
      <c r="B274" s="1"/>
      <c r="C274" s="2">
        <v>740440</v>
      </c>
      <c r="D274" s="7" t="s">
        <v>29</v>
      </c>
      <c r="E274" s="1"/>
      <c r="F274" s="4" t="s">
        <v>9</v>
      </c>
      <c r="G274" s="4">
        <v>0</v>
      </c>
      <c r="H274" s="4">
        <v>0</v>
      </c>
      <c r="I274" s="4">
        <v>0</v>
      </c>
      <c r="J274" s="4">
        <v>0</v>
      </c>
      <c r="K274" s="4" t="s">
        <v>9</v>
      </c>
      <c r="L274" s="4" t="s">
        <v>9</v>
      </c>
      <c r="M274" s="4">
        <v>0</v>
      </c>
      <c r="N274" s="4">
        <v>0</v>
      </c>
      <c r="O274" s="4">
        <v>0</v>
      </c>
      <c r="P274" s="6">
        <f t="shared" si="3"/>
        <v>0</v>
      </c>
    </row>
    <row r="275" spans="1:16" ht="45.75" outlineLevel="2" x14ac:dyDescent="0.2">
      <c r="A275" s="2">
        <v>140101</v>
      </c>
      <c r="B275" s="1"/>
      <c r="C275" s="2">
        <v>925402</v>
      </c>
      <c r="D275" s="3" t="s">
        <v>259</v>
      </c>
      <c r="E275" s="5" t="s">
        <v>20</v>
      </c>
      <c r="F275" s="4">
        <v>1</v>
      </c>
      <c r="G275" s="4">
        <v>0</v>
      </c>
      <c r="H275" s="4">
        <v>0</v>
      </c>
      <c r="I275" s="4">
        <v>0</v>
      </c>
      <c r="J275" s="4">
        <v>1</v>
      </c>
      <c r="K275" s="4">
        <v>28680.52</v>
      </c>
      <c r="L275" s="4">
        <v>28680.52</v>
      </c>
      <c r="M275" s="4">
        <v>0</v>
      </c>
      <c r="N275" s="4">
        <v>0</v>
      </c>
      <c r="O275" s="4">
        <v>0</v>
      </c>
      <c r="P275" s="6">
        <f t="shared" si="3"/>
        <v>28680.52</v>
      </c>
    </row>
    <row r="276" spans="1:16" ht="36.75" outlineLevel="2" x14ac:dyDescent="0.2">
      <c r="A276" s="2">
        <v>140102</v>
      </c>
      <c r="B276" s="1"/>
      <c r="C276" s="2">
        <v>948178</v>
      </c>
      <c r="D276" s="3" t="s">
        <v>260</v>
      </c>
      <c r="E276" s="5" t="s">
        <v>20</v>
      </c>
      <c r="F276" s="4">
        <v>14</v>
      </c>
      <c r="G276" s="4">
        <v>3</v>
      </c>
      <c r="H276" s="4">
        <v>0</v>
      </c>
      <c r="I276" s="4">
        <v>3</v>
      </c>
      <c r="J276" s="4">
        <v>11</v>
      </c>
      <c r="K276" s="4">
        <v>437.66</v>
      </c>
      <c r="L276" s="4">
        <v>6127.24</v>
      </c>
      <c r="M276" s="4">
        <v>1312.98</v>
      </c>
      <c r="N276" s="4">
        <v>0</v>
      </c>
      <c r="O276" s="4">
        <v>1312.98</v>
      </c>
      <c r="P276" s="6">
        <f t="shared" si="3"/>
        <v>4814.26</v>
      </c>
    </row>
    <row r="277" spans="1:16" ht="27.75" outlineLevel="2" x14ac:dyDescent="0.2">
      <c r="A277" s="2">
        <v>140103</v>
      </c>
      <c r="B277" s="1"/>
      <c r="C277" s="2">
        <v>960114</v>
      </c>
      <c r="D277" s="3" t="s">
        <v>261</v>
      </c>
      <c r="E277" s="5" t="s">
        <v>30</v>
      </c>
      <c r="F277" s="4">
        <v>19</v>
      </c>
      <c r="G277" s="4">
        <v>0</v>
      </c>
      <c r="H277" s="4">
        <v>0</v>
      </c>
      <c r="I277" s="4">
        <v>0</v>
      </c>
      <c r="J277" s="4">
        <v>19</v>
      </c>
      <c r="K277" s="4">
        <v>84.24</v>
      </c>
      <c r="L277" s="4">
        <v>1600.56</v>
      </c>
      <c r="M277" s="4">
        <v>0</v>
      </c>
      <c r="N277" s="4">
        <v>0</v>
      </c>
      <c r="O277" s="4">
        <v>0</v>
      </c>
      <c r="P277" s="6">
        <f t="shared" si="3"/>
        <v>1600.56</v>
      </c>
    </row>
    <row r="278" spans="1:16" ht="27.75" outlineLevel="2" x14ac:dyDescent="0.2">
      <c r="A278" s="2">
        <v>140104</v>
      </c>
      <c r="B278" s="1"/>
      <c r="C278" s="2">
        <v>659082</v>
      </c>
      <c r="D278" s="3" t="s">
        <v>262</v>
      </c>
      <c r="E278" s="5" t="s">
        <v>20</v>
      </c>
      <c r="F278" s="4">
        <v>4</v>
      </c>
      <c r="G278" s="4">
        <v>0</v>
      </c>
      <c r="H278" s="4">
        <v>0</v>
      </c>
      <c r="I278" s="4">
        <v>0</v>
      </c>
      <c r="J278" s="4">
        <v>4</v>
      </c>
      <c r="K278" s="4">
        <v>113.56</v>
      </c>
      <c r="L278" s="4">
        <v>454.24</v>
      </c>
      <c r="M278" s="4">
        <v>0</v>
      </c>
      <c r="N278" s="4">
        <v>0</v>
      </c>
      <c r="O278" s="4">
        <v>0</v>
      </c>
      <c r="P278" s="6">
        <f t="shared" si="3"/>
        <v>454.24</v>
      </c>
    </row>
    <row r="279" spans="1:16" ht="27.75" outlineLevel="2" x14ac:dyDescent="0.2">
      <c r="A279" s="2">
        <v>140105</v>
      </c>
      <c r="B279" s="1"/>
      <c r="C279" s="2">
        <v>659083</v>
      </c>
      <c r="D279" s="3" t="s">
        <v>263</v>
      </c>
      <c r="E279" s="5" t="s">
        <v>20</v>
      </c>
      <c r="F279" s="4">
        <v>1</v>
      </c>
      <c r="G279" s="4">
        <v>0</v>
      </c>
      <c r="H279" s="4">
        <v>0</v>
      </c>
      <c r="I279" s="4">
        <v>0</v>
      </c>
      <c r="J279" s="4">
        <v>1</v>
      </c>
      <c r="K279" s="4">
        <v>328.47</v>
      </c>
      <c r="L279" s="4">
        <v>328.47</v>
      </c>
      <c r="M279" s="4">
        <v>0</v>
      </c>
      <c r="N279" s="4">
        <v>0</v>
      </c>
      <c r="O279" s="4">
        <v>0</v>
      </c>
      <c r="P279" s="6">
        <f t="shared" ref="P279:P342" si="4">PRODUCT(J279,K279)</f>
        <v>328.47</v>
      </c>
    </row>
    <row r="280" spans="1:16" ht="27.75" outlineLevel="2" x14ac:dyDescent="0.2">
      <c r="A280" s="2">
        <v>140106</v>
      </c>
      <c r="B280" s="1"/>
      <c r="C280" s="2">
        <v>920376</v>
      </c>
      <c r="D280" s="3" t="s">
        <v>264</v>
      </c>
      <c r="E280" s="5" t="s">
        <v>15</v>
      </c>
      <c r="F280" s="4">
        <v>326.05</v>
      </c>
      <c r="G280" s="4">
        <v>0</v>
      </c>
      <c r="H280" s="4">
        <v>0</v>
      </c>
      <c r="I280" s="4">
        <v>0</v>
      </c>
      <c r="J280" s="4">
        <v>326.05</v>
      </c>
      <c r="K280" s="4">
        <v>37.950000000000003</v>
      </c>
      <c r="L280" s="4">
        <v>12373.59</v>
      </c>
      <c r="M280" s="4">
        <v>0</v>
      </c>
      <c r="N280" s="4">
        <v>0</v>
      </c>
      <c r="O280" s="4">
        <v>0</v>
      </c>
      <c r="P280" s="6">
        <f t="shared" si="4"/>
        <v>12373.597500000002</v>
      </c>
    </row>
    <row r="281" spans="1:16" ht="27.75" outlineLevel="2" x14ac:dyDescent="0.2">
      <c r="A281" s="2">
        <v>140107</v>
      </c>
      <c r="B281" s="1"/>
      <c r="C281" s="2">
        <v>925403</v>
      </c>
      <c r="D281" s="3" t="s">
        <v>265</v>
      </c>
      <c r="E281" s="5" t="s">
        <v>15</v>
      </c>
      <c r="F281" s="4">
        <v>45.05</v>
      </c>
      <c r="G281" s="4">
        <v>0</v>
      </c>
      <c r="H281" s="4">
        <v>0</v>
      </c>
      <c r="I281" s="4">
        <v>0</v>
      </c>
      <c r="J281" s="4">
        <v>45.05</v>
      </c>
      <c r="K281" s="4">
        <v>14.56</v>
      </c>
      <c r="L281" s="4">
        <v>655.92</v>
      </c>
      <c r="M281" s="4">
        <v>0</v>
      </c>
      <c r="N281" s="4">
        <v>0</v>
      </c>
      <c r="O281" s="4">
        <v>0</v>
      </c>
      <c r="P281" s="6">
        <f t="shared" si="4"/>
        <v>655.928</v>
      </c>
    </row>
    <row r="282" spans="1:16" ht="27.75" outlineLevel="2" x14ac:dyDescent="0.2">
      <c r="A282" s="2">
        <v>140108</v>
      </c>
      <c r="B282" s="1"/>
      <c r="C282" s="2">
        <v>920397</v>
      </c>
      <c r="D282" s="3" t="s">
        <v>266</v>
      </c>
      <c r="E282" s="5" t="s">
        <v>15</v>
      </c>
      <c r="F282" s="4">
        <v>406.8</v>
      </c>
      <c r="G282" s="4">
        <v>0</v>
      </c>
      <c r="H282" s="4">
        <v>0</v>
      </c>
      <c r="I282" s="4">
        <v>0</v>
      </c>
      <c r="J282" s="4">
        <v>406.8</v>
      </c>
      <c r="K282" s="4">
        <v>3.66</v>
      </c>
      <c r="L282" s="4">
        <v>1488.88</v>
      </c>
      <c r="M282" s="4">
        <v>0</v>
      </c>
      <c r="N282" s="4">
        <v>0</v>
      </c>
      <c r="O282" s="4">
        <v>0</v>
      </c>
      <c r="P282" s="6">
        <f t="shared" si="4"/>
        <v>1488.8880000000001</v>
      </c>
    </row>
    <row r="283" spans="1:16" ht="27.75" outlineLevel="2" x14ac:dyDescent="0.2">
      <c r="A283" s="2">
        <v>140109</v>
      </c>
      <c r="B283" s="1"/>
      <c r="C283" s="2">
        <v>922260</v>
      </c>
      <c r="D283" s="3" t="s">
        <v>267</v>
      </c>
      <c r="E283" s="5" t="s">
        <v>15</v>
      </c>
      <c r="F283" s="4">
        <v>1280.3499999999999</v>
      </c>
      <c r="G283" s="4">
        <v>0</v>
      </c>
      <c r="H283" s="4">
        <v>0</v>
      </c>
      <c r="I283" s="4">
        <v>0</v>
      </c>
      <c r="J283" s="4">
        <v>1280.3499999999999</v>
      </c>
      <c r="K283" s="4">
        <v>8.18</v>
      </c>
      <c r="L283" s="4">
        <v>10473.26</v>
      </c>
      <c r="M283" s="4">
        <v>0</v>
      </c>
      <c r="N283" s="4">
        <v>0</v>
      </c>
      <c r="O283" s="4">
        <v>0</v>
      </c>
      <c r="P283" s="6">
        <f t="shared" si="4"/>
        <v>10473.262999999999</v>
      </c>
    </row>
    <row r="284" spans="1:16" ht="27.75" outlineLevel="2" x14ac:dyDescent="0.2">
      <c r="A284" s="2">
        <v>140110</v>
      </c>
      <c r="B284" s="1"/>
      <c r="C284" s="2">
        <v>924932</v>
      </c>
      <c r="D284" s="3" t="s">
        <v>268</v>
      </c>
      <c r="E284" s="5" t="s">
        <v>15</v>
      </c>
      <c r="F284" s="4">
        <v>443.55</v>
      </c>
      <c r="G284" s="4">
        <v>0</v>
      </c>
      <c r="H284" s="4">
        <v>0</v>
      </c>
      <c r="I284" s="4">
        <v>0</v>
      </c>
      <c r="J284" s="4">
        <v>443.55</v>
      </c>
      <c r="K284" s="4">
        <v>12.51</v>
      </c>
      <c r="L284" s="4">
        <v>5548.81</v>
      </c>
      <c r="M284" s="4">
        <v>0</v>
      </c>
      <c r="N284" s="4">
        <v>0</v>
      </c>
      <c r="O284" s="4">
        <v>0</v>
      </c>
      <c r="P284" s="6">
        <f t="shared" si="4"/>
        <v>5548.8105000000005</v>
      </c>
    </row>
    <row r="285" spans="1:16" ht="18.75" outlineLevel="2" x14ac:dyDescent="0.2">
      <c r="A285" s="2">
        <v>140111</v>
      </c>
      <c r="B285" s="1"/>
      <c r="C285" s="2">
        <v>920972</v>
      </c>
      <c r="D285" s="3" t="s">
        <v>269</v>
      </c>
      <c r="E285" s="5" t="s">
        <v>15</v>
      </c>
      <c r="F285" s="4">
        <v>388.17</v>
      </c>
      <c r="G285" s="4">
        <v>0</v>
      </c>
      <c r="H285" s="4">
        <v>0</v>
      </c>
      <c r="I285" s="4">
        <v>0</v>
      </c>
      <c r="J285" s="4">
        <v>388.17</v>
      </c>
      <c r="K285" s="4">
        <v>11.21</v>
      </c>
      <c r="L285" s="4">
        <v>4351.38</v>
      </c>
      <c r="M285" s="4">
        <v>0</v>
      </c>
      <c r="N285" s="4">
        <v>0</v>
      </c>
      <c r="O285" s="4">
        <v>0</v>
      </c>
      <c r="P285" s="6">
        <f t="shared" si="4"/>
        <v>4351.3857000000007</v>
      </c>
    </row>
    <row r="286" spans="1:16" ht="18.75" outlineLevel="2" x14ac:dyDescent="0.2">
      <c r="A286" s="2">
        <v>140112</v>
      </c>
      <c r="B286" s="1"/>
      <c r="C286" s="2">
        <v>924622</v>
      </c>
      <c r="D286" s="3" t="s">
        <v>270</v>
      </c>
      <c r="E286" s="5" t="s">
        <v>15</v>
      </c>
      <c r="F286" s="4">
        <v>90.34</v>
      </c>
      <c r="G286" s="4">
        <v>0</v>
      </c>
      <c r="H286" s="4">
        <v>0</v>
      </c>
      <c r="I286" s="4">
        <v>0</v>
      </c>
      <c r="J286" s="4">
        <v>90.34</v>
      </c>
      <c r="K286" s="4">
        <v>23.23</v>
      </c>
      <c r="L286" s="4">
        <v>2098.59</v>
      </c>
      <c r="M286" s="4">
        <v>0</v>
      </c>
      <c r="N286" s="4">
        <v>0</v>
      </c>
      <c r="O286" s="4">
        <v>0</v>
      </c>
      <c r="P286" s="6">
        <f t="shared" si="4"/>
        <v>2098.5981999999999</v>
      </c>
    </row>
    <row r="287" spans="1:16" ht="18.75" outlineLevel="2" x14ac:dyDescent="0.2">
      <c r="A287" s="2">
        <v>140113</v>
      </c>
      <c r="B287" s="1"/>
      <c r="C287" s="2">
        <v>925404</v>
      </c>
      <c r="D287" s="3" t="s">
        <v>271</v>
      </c>
      <c r="E287" s="5" t="s">
        <v>15</v>
      </c>
      <c r="F287" s="4">
        <v>56.78</v>
      </c>
      <c r="G287" s="4">
        <v>0</v>
      </c>
      <c r="H287" s="4">
        <v>0</v>
      </c>
      <c r="I287" s="4">
        <v>0</v>
      </c>
      <c r="J287" s="4">
        <v>56.78</v>
      </c>
      <c r="K287" s="4">
        <v>43.09</v>
      </c>
      <c r="L287" s="4">
        <v>2446.65</v>
      </c>
      <c r="M287" s="4">
        <v>0</v>
      </c>
      <c r="N287" s="4">
        <v>0</v>
      </c>
      <c r="O287" s="4">
        <v>0</v>
      </c>
      <c r="P287" s="6">
        <f t="shared" si="4"/>
        <v>2446.6502</v>
      </c>
    </row>
    <row r="288" spans="1:16" ht="18.75" outlineLevel="2" x14ac:dyDescent="0.2">
      <c r="A288" s="2">
        <v>140114</v>
      </c>
      <c r="B288" s="1"/>
      <c r="C288" s="2">
        <v>925405</v>
      </c>
      <c r="D288" s="3" t="s">
        <v>272</v>
      </c>
      <c r="E288" s="5" t="s">
        <v>20</v>
      </c>
      <c r="F288" s="4">
        <v>35</v>
      </c>
      <c r="G288" s="4">
        <v>0</v>
      </c>
      <c r="H288" s="4">
        <v>0</v>
      </c>
      <c r="I288" s="4">
        <v>0</v>
      </c>
      <c r="J288" s="4">
        <v>35</v>
      </c>
      <c r="K288" s="4">
        <v>232.84</v>
      </c>
      <c r="L288" s="4">
        <v>8149.4</v>
      </c>
      <c r="M288" s="4">
        <v>0</v>
      </c>
      <c r="N288" s="4">
        <v>0</v>
      </c>
      <c r="O288" s="4">
        <v>0</v>
      </c>
      <c r="P288" s="6">
        <f t="shared" si="4"/>
        <v>8149.4000000000005</v>
      </c>
    </row>
    <row r="289" spans="1:16" ht="45.75" outlineLevel="2" x14ac:dyDescent="0.2">
      <c r="A289" s="2">
        <v>140115</v>
      </c>
      <c r="B289" s="1"/>
      <c r="C289" s="2">
        <v>925406</v>
      </c>
      <c r="D289" s="3" t="s">
        <v>273</v>
      </c>
      <c r="E289" s="5" t="s">
        <v>31</v>
      </c>
      <c r="F289" s="4">
        <v>40</v>
      </c>
      <c r="G289" s="4">
        <v>0</v>
      </c>
      <c r="H289" s="4">
        <v>0</v>
      </c>
      <c r="I289" s="4">
        <v>0</v>
      </c>
      <c r="J289" s="4">
        <v>40</v>
      </c>
      <c r="K289" s="4">
        <v>1696.09</v>
      </c>
      <c r="L289" s="4">
        <v>67843.600000000006</v>
      </c>
      <c r="M289" s="4">
        <v>0</v>
      </c>
      <c r="N289" s="4">
        <v>0</v>
      </c>
      <c r="O289" s="4">
        <v>0</v>
      </c>
      <c r="P289" s="6">
        <f t="shared" si="4"/>
        <v>67843.599999999991</v>
      </c>
    </row>
    <row r="290" spans="1:16" ht="27.75" outlineLevel="2" x14ac:dyDescent="0.2">
      <c r="A290" s="2">
        <v>140116</v>
      </c>
      <c r="B290" s="1"/>
      <c r="C290" s="2">
        <v>925407</v>
      </c>
      <c r="D290" s="3" t="s">
        <v>274</v>
      </c>
      <c r="E290" s="5" t="s">
        <v>20</v>
      </c>
      <c r="F290" s="4">
        <v>4</v>
      </c>
      <c r="G290" s="4">
        <v>0</v>
      </c>
      <c r="H290" s="4">
        <v>0</v>
      </c>
      <c r="I290" s="4">
        <v>0</v>
      </c>
      <c r="J290" s="4">
        <v>4</v>
      </c>
      <c r="K290" s="4">
        <v>75.88</v>
      </c>
      <c r="L290" s="4">
        <v>303.52</v>
      </c>
      <c r="M290" s="4">
        <v>0</v>
      </c>
      <c r="N290" s="4">
        <v>0</v>
      </c>
      <c r="O290" s="4">
        <v>0</v>
      </c>
      <c r="P290" s="6">
        <f t="shared" si="4"/>
        <v>303.52</v>
      </c>
    </row>
    <row r="291" spans="1:16" ht="27.75" outlineLevel="2" x14ac:dyDescent="0.2">
      <c r="A291" s="2">
        <v>140117</v>
      </c>
      <c r="B291" s="1"/>
      <c r="C291" s="2">
        <v>923000</v>
      </c>
      <c r="D291" s="3" t="s">
        <v>275</v>
      </c>
      <c r="E291" s="5" t="s">
        <v>15</v>
      </c>
      <c r="F291" s="4">
        <v>968.18</v>
      </c>
      <c r="G291" s="4">
        <v>168</v>
      </c>
      <c r="H291" s="4">
        <v>168</v>
      </c>
      <c r="I291" s="4">
        <v>336</v>
      </c>
      <c r="J291" s="4">
        <v>632.17999999999995</v>
      </c>
      <c r="K291" s="4">
        <v>8.82</v>
      </c>
      <c r="L291" s="4">
        <v>8539.34</v>
      </c>
      <c r="M291" s="4">
        <v>1481.76</v>
      </c>
      <c r="N291" s="4">
        <v>1481.76</v>
      </c>
      <c r="O291" s="4">
        <v>2963.52</v>
      </c>
      <c r="P291" s="6">
        <f t="shared" si="4"/>
        <v>5575.8275999999996</v>
      </c>
    </row>
    <row r="292" spans="1:16" ht="45.75" outlineLevel="2" x14ac:dyDescent="0.2">
      <c r="A292" s="2">
        <v>140118</v>
      </c>
      <c r="B292" s="1"/>
      <c r="C292" s="2">
        <v>925408</v>
      </c>
      <c r="D292" s="3" t="s">
        <v>276</v>
      </c>
      <c r="E292" s="5" t="s">
        <v>31</v>
      </c>
      <c r="F292" s="4">
        <v>16</v>
      </c>
      <c r="G292" s="4">
        <v>0</v>
      </c>
      <c r="H292" s="4">
        <v>0</v>
      </c>
      <c r="I292" s="4">
        <v>0</v>
      </c>
      <c r="J292" s="4">
        <v>16</v>
      </c>
      <c r="K292" s="4">
        <v>156.02000000000001</v>
      </c>
      <c r="L292" s="4">
        <v>2496.3200000000002</v>
      </c>
      <c r="M292" s="4">
        <v>0</v>
      </c>
      <c r="N292" s="4">
        <v>0</v>
      </c>
      <c r="O292" s="4">
        <v>0</v>
      </c>
      <c r="P292" s="6">
        <f t="shared" si="4"/>
        <v>2496.3200000000002</v>
      </c>
    </row>
    <row r="293" spans="1:16" ht="18.75" outlineLevel="2" x14ac:dyDescent="0.2">
      <c r="A293" s="2">
        <v>140119</v>
      </c>
      <c r="B293" s="1"/>
      <c r="C293" s="2">
        <v>925409</v>
      </c>
      <c r="D293" s="3" t="s">
        <v>277</v>
      </c>
      <c r="E293" s="5" t="s">
        <v>15</v>
      </c>
      <c r="F293" s="4">
        <v>271.77999999999997</v>
      </c>
      <c r="G293" s="4">
        <v>0</v>
      </c>
      <c r="H293" s="4">
        <v>0</v>
      </c>
      <c r="I293" s="4">
        <v>0</v>
      </c>
      <c r="J293" s="4">
        <v>271.77999999999997</v>
      </c>
      <c r="K293" s="4">
        <v>28.5</v>
      </c>
      <c r="L293" s="4">
        <v>7745.73</v>
      </c>
      <c r="M293" s="4">
        <v>0</v>
      </c>
      <c r="N293" s="4">
        <v>0</v>
      </c>
      <c r="O293" s="4">
        <v>0</v>
      </c>
      <c r="P293" s="6">
        <f t="shared" si="4"/>
        <v>7745.73</v>
      </c>
    </row>
    <row r="294" spans="1:16" ht="27.75" outlineLevel="2" x14ac:dyDescent="0.2">
      <c r="A294" s="2">
        <v>140120</v>
      </c>
      <c r="B294" s="1"/>
      <c r="C294" s="2">
        <v>500037</v>
      </c>
      <c r="D294" s="3" t="s">
        <v>278</v>
      </c>
      <c r="E294" s="5" t="s">
        <v>30</v>
      </c>
      <c r="F294" s="4">
        <v>63</v>
      </c>
      <c r="G294" s="4">
        <v>0</v>
      </c>
      <c r="H294" s="4">
        <v>0</v>
      </c>
      <c r="I294" s="4">
        <v>0</v>
      </c>
      <c r="J294" s="4">
        <v>63</v>
      </c>
      <c r="K294" s="4">
        <v>12.88</v>
      </c>
      <c r="L294" s="4">
        <v>811.44</v>
      </c>
      <c r="M294" s="4">
        <v>0</v>
      </c>
      <c r="N294" s="4">
        <v>0</v>
      </c>
      <c r="O294" s="4">
        <v>0</v>
      </c>
      <c r="P294" s="6">
        <f t="shared" si="4"/>
        <v>811.44</v>
      </c>
    </row>
    <row r="295" spans="1:16" ht="27.75" outlineLevel="2" x14ac:dyDescent="0.2">
      <c r="A295" s="2">
        <v>140121</v>
      </c>
      <c r="B295" s="1"/>
      <c r="C295" s="2">
        <v>925410</v>
      </c>
      <c r="D295" s="3" t="s">
        <v>279</v>
      </c>
      <c r="E295" s="5" t="s">
        <v>20</v>
      </c>
      <c r="F295" s="4">
        <v>10</v>
      </c>
      <c r="G295" s="4">
        <v>0</v>
      </c>
      <c r="H295" s="4">
        <v>0</v>
      </c>
      <c r="I295" s="4">
        <v>0</v>
      </c>
      <c r="J295" s="4">
        <v>10</v>
      </c>
      <c r="K295" s="4">
        <v>71.83</v>
      </c>
      <c r="L295" s="4">
        <v>718.3</v>
      </c>
      <c r="M295" s="4">
        <v>0</v>
      </c>
      <c r="N295" s="4">
        <v>0</v>
      </c>
      <c r="O295" s="4">
        <v>0</v>
      </c>
      <c r="P295" s="6">
        <f t="shared" si="4"/>
        <v>718.3</v>
      </c>
    </row>
    <row r="296" spans="1:16" ht="18.75" outlineLevel="2" x14ac:dyDescent="0.2">
      <c r="A296" s="2">
        <v>140122</v>
      </c>
      <c r="B296" s="1"/>
      <c r="C296" s="2">
        <v>925411</v>
      </c>
      <c r="D296" s="3" t="s">
        <v>280</v>
      </c>
      <c r="E296" s="5" t="s">
        <v>20</v>
      </c>
      <c r="F296" s="4">
        <v>227</v>
      </c>
      <c r="G296" s="4">
        <v>0</v>
      </c>
      <c r="H296" s="4">
        <v>0</v>
      </c>
      <c r="I296" s="4">
        <v>0</v>
      </c>
      <c r="J296" s="4">
        <v>227</v>
      </c>
      <c r="K296" s="4">
        <v>7.77</v>
      </c>
      <c r="L296" s="4">
        <v>1763.79</v>
      </c>
      <c r="M296" s="4">
        <v>0</v>
      </c>
      <c r="N296" s="4">
        <v>0</v>
      </c>
      <c r="O296" s="4">
        <v>0</v>
      </c>
      <c r="P296" s="6">
        <f t="shared" si="4"/>
        <v>1763.79</v>
      </c>
    </row>
    <row r="297" spans="1:16" ht="27.75" outlineLevel="2" x14ac:dyDescent="0.2">
      <c r="A297" s="2">
        <v>140123</v>
      </c>
      <c r="B297" s="1"/>
      <c r="C297" s="2">
        <v>922411</v>
      </c>
      <c r="D297" s="3" t="s">
        <v>281</v>
      </c>
      <c r="E297" s="5" t="s">
        <v>20</v>
      </c>
      <c r="F297" s="4">
        <v>4</v>
      </c>
      <c r="G297" s="4">
        <v>0</v>
      </c>
      <c r="H297" s="4">
        <v>0</v>
      </c>
      <c r="I297" s="4">
        <v>0</v>
      </c>
      <c r="J297" s="4">
        <v>4</v>
      </c>
      <c r="K297" s="4">
        <v>41.85</v>
      </c>
      <c r="L297" s="4">
        <v>167.4</v>
      </c>
      <c r="M297" s="4">
        <v>0</v>
      </c>
      <c r="N297" s="4">
        <v>0</v>
      </c>
      <c r="O297" s="4">
        <v>0</v>
      </c>
      <c r="P297" s="6">
        <f t="shared" si="4"/>
        <v>167.4</v>
      </c>
    </row>
    <row r="298" spans="1:16" ht="27.75" outlineLevel="2" x14ac:dyDescent="0.2">
      <c r="A298" s="2">
        <v>140124</v>
      </c>
      <c r="B298" s="1"/>
      <c r="C298" s="2">
        <v>925412</v>
      </c>
      <c r="D298" s="3" t="s">
        <v>282</v>
      </c>
      <c r="E298" s="5" t="s">
        <v>20</v>
      </c>
      <c r="F298" s="4">
        <v>45</v>
      </c>
      <c r="G298" s="4">
        <v>0</v>
      </c>
      <c r="H298" s="4">
        <v>0</v>
      </c>
      <c r="I298" s="4">
        <v>0</v>
      </c>
      <c r="J298" s="4">
        <v>45</v>
      </c>
      <c r="K298" s="4">
        <v>8.76</v>
      </c>
      <c r="L298" s="4">
        <v>394.2</v>
      </c>
      <c r="M298" s="4">
        <v>0</v>
      </c>
      <c r="N298" s="4">
        <v>0</v>
      </c>
      <c r="O298" s="4">
        <v>0</v>
      </c>
      <c r="P298" s="6">
        <f t="shared" si="4"/>
        <v>394.2</v>
      </c>
    </row>
    <row r="299" spans="1:16" ht="27.75" outlineLevel="2" x14ac:dyDescent="0.2">
      <c r="A299" s="2">
        <v>140125</v>
      </c>
      <c r="B299" s="1"/>
      <c r="C299" s="2">
        <v>920980</v>
      </c>
      <c r="D299" s="3" t="s">
        <v>283</v>
      </c>
      <c r="E299" s="5" t="s">
        <v>15</v>
      </c>
      <c r="F299" s="4">
        <v>7794.63</v>
      </c>
      <c r="G299" s="4">
        <v>0</v>
      </c>
      <c r="H299" s="4">
        <v>0</v>
      </c>
      <c r="I299" s="4">
        <v>0</v>
      </c>
      <c r="J299" s="4">
        <v>7794.63</v>
      </c>
      <c r="K299" s="4">
        <v>2.27</v>
      </c>
      <c r="L299" s="4">
        <v>17693.810000000001</v>
      </c>
      <c r="M299" s="4">
        <v>0</v>
      </c>
      <c r="N299" s="4">
        <v>0</v>
      </c>
      <c r="O299" s="4">
        <v>0</v>
      </c>
      <c r="P299" s="6">
        <f t="shared" si="4"/>
        <v>17693.810099999999</v>
      </c>
    </row>
    <row r="300" spans="1:16" ht="36.75" outlineLevel="2" x14ac:dyDescent="0.2">
      <c r="A300" s="2">
        <v>140126</v>
      </c>
      <c r="B300" s="1"/>
      <c r="C300" s="2">
        <v>925413</v>
      </c>
      <c r="D300" s="3" t="s">
        <v>284</v>
      </c>
      <c r="E300" s="5" t="s">
        <v>20</v>
      </c>
      <c r="F300" s="4">
        <v>217</v>
      </c>
      <c r="G300" s="4">
        <v>0</v>
      </c>
      <c r="H300" s="4">
        <v>0</v>
      </c>
      <c r="I300" s="4">
        <v>0</v>
      </c>
      <c r="J300" s="4">
        <v>217</v>
      </c>
      <c r="K300" s="4">
        <v>77.17</v>
      </c>
      <c r="L300" s="4">
        <v>16745.89</v>
      </c>
      <c r="M300" s="4">
        <v>0</v>
      </c>
      <c r="N300" s="4">
        <v>0</v>
      </c>
      <c r="O300" s="4">
        <v>0</v>
      </c>
      <c r="P300" s="6">
        <f t="shared" si="4"/>
        <v>16745.89</v>
      </c>
    </row>
    <row r="301" spans="1:16" ht="27.75" outlineLevel="2" x14ac:dyDescent="0.2">
      <c r="A301" s="2">
        <v>140127</v>
      </c>
      <c r="B301" s="1"/>
      <c r="C301" s="2">
        <v>920546</v>
      </c>
      <c r="D301" s="3" t="s">
        <v>285</v>
      </c>
      <c r="E301" s="5" t="s">
        <v>20</v>
      </c>
      <c r="F301" s="4">
        <v>69</v>
      </c>
      <c r="G301" s="4">
        <v>51</v>
      </c>
      <c r="H301" s="4">
        <v>0</v>
      </c>
      <c r="I301" s="4">
        <v>51</v>
      </c>
      <c r="J301" s="4">
        <v>18</v>
      </c>
      <c r="K301" s="4">
        <v>18.09</v>
      </c>
      <c r="L301" s="4">
        <v>1248.21</v>
      </c>
      <c r="M301" s="4">
        <v>922.59</v>
      </c>
      <c r="N301" s="4">
        <v>0</v>
      </c>
      <c r="O301" s="4">
        <v>922.59</v>
      </c>
      <c r="P301" s="6">
        <f t="shared" si="4"/>
        <v>325.62</v>
      </c>
    </row>
    <row r="302" spans="1:16" ht="27.75" outlineLevel="2" x14ac:dyDescent="0.2">
      <c r="A302" s="2">
        <v>140128</v>
      </c>
      <c r="B302" s="1"/>
      <c r="C302" s="2">
        <v>920545</v>
      </c>
      <c r="D302" s="3" t="s">
        <v>286</v>
      </c>
      <c r="E302" s="5" t="s">
        <v>20</v>
      </c>
      <c r="F302" s="4">
        <v>106</v>
      </c>
      <c r="G302" s="4">
        <v>20</v>
      </c>
      <c r="H302" s="4">
        <v>86</v>
      </c>
      <c r="I302" s="4">
        <v>106</v>
      </c>
      <c r="J302" s="4">
        <v>0</v>
      </c>
      <c r="K302" s="4">
        <v>9.5500000000000007</v>
      </c>
      <c r="L302" s="4">
        <v>1012.3</v>
      </c>
      <c r="M302" s="4">
        <v>191</v>
      </c>
      <c r="N302" s="4">
        <v>821.3</v>
      </c>
      <c r="O302" s="4">
        <v>1012.3</v>
      </c>
      <c r="P302" s="6">
        <f t="shared" si="4"/>
        <v>0</v>
      </c>
    </row>
    <row r="303" spans="1:16" ht="27.75" outlineLevel="2" x14ac:dyDescent="0.2">
      <c r="A303" s="2">
        <v>140129</v>
      </c>
      <c r="B303" s="1"/>
      <c r="C303" s="2">
        <v>920544</v>
      </c>
      <c r="D303" s="3" t="s">
        <v>287</v>
      </c>
      <c r="E303" s="5" t="s">
        <v>20</v>
      </c>
      <c r="F303" s="4">
        <v>134</v>
      </c>
      <c r="G303" s="4">
        <v>50</v>
      </c>
      <c r="H303" s="4">
        <v>46</v>
      </c>
      <c r="I303" s="4">
        <v>96</v>
      </c>
      <c r="J303" s="4">
        <v>38</v>
      </c>
      <c r="K303" s="4">
        <v>6.34</v>
      </c>
      <c r="L303" s="4">
        <v>849.56</v>
      </c>
      <c r="M303" s="4">
        <v>317</v>
      </c>
      <c r="N303" s="4">
        <v>291.64</v>
      </c>
      <c r="O303" s="4">
        <v>608.64</v>
      </c>
      <c r="P303" s="6">
        <f t="shared" si="4"/>
        <v>240.92</v>
      </c>
    </row>
    <row r="304" spans="1:16" ht="18.75" outlineLevel="2" x14ac:dyDescent="0.2">
      <c r="A304" s="2">
        <v>140130</v>
      </c>
      <c r="B304" s="1"/>
      <c r="C304" s="2">
        <v>920551</v>
      </c>
      <c r="D304" s="3" t="s">
        <v>288</v>
      </c>
      <c r="E304" s="5" t="s">
        <v>20</v>
      </c>
      <c r="F304" s="4">
        <v>29</v>
      </c>
      <c r="G304" s="4">
        <v>0</v>
      </c>
      <c r="H304" s="4">
        <v>0</v>
      </c>
      <c r="I304" s="4">
        <v>0</v>
      </c>
      <c r="J304" s="4">
        <v>29</v>
      </c>
      <c r="K304" s="4">
        <v>19.27</v>
      </c>
      <c r="L304" s="4">
        <v>558.83000000000004</v>
      </c>
      <c r="M304" s="4">
        <v>0</v>
      </c>
      <c r="N304" s="4">
        <v>0</v>
      </c>
      <c r="O304" s="4">
        <v>0</v>
      </c>
      <c r="P304" s="6">
        <f t="shared" si="4"/>
        <v>558.83000000000004</v>
      </c>
    </row>
    <row r="305" spans="1:16" ht="18.75" outlineLevel="2" x14ac:dyDescent="0.2">
      <c r="A305" s="2">
        <v>140131</v>
      </c>
      <c r="B305" s="1"/>
      <c r="C305" s="2">
        <v>920552</v>
      </c>
      <c r="D305" s="3" t="s">
        <v>289</v>
      </c>
      <c r="E305" s="5" t="s">
        <v>20</v>
      </c>
      <c r="F305" s="4">
        <v>23</v>
      </c>
      <c r="G305" s="4">
        <v>0</v>
      </c>
      <c r="H305" s="4">
        <v>0</v>
      </c>
      <c r="I305" s="4">
        <v>0</v>
      </c>
      <c r="J305" s="4">
        <v>23</v>
      </c>
      <c r="K305" s="4">
        <v>30.56</v>
      </c>
      <c r="L305" s="4">
        <v>702.88</v>
      </c>
      <c r="M305" s="4">
        <v>0</v>
      </c>
      <c r="N305" s="4">
        <v>0</v>
      </c>
      <c r="O305" s="4">
        <v>0</v>
      </c>
      <c r="P305" s="6">
        <f t="shared" si="4"/>
        <v>702.88</v>
      </c>
    </row>
    <row r="306" spans="1:16" ht="27.75" outlineLevel="2" x14ac:dyDescent="0.2">
      <c r="A306" s="2">
        <v>140132</v>
      </c>
      <c r="B306" s="1"/>
      <c r="C306" s="2">
        <v>922097</v>
      </c>
      <c r="D306" s="3" t="s">
        <v>290</v>
      </c>
      <c r="E306" s="5" t="s">
        <v>20</v>
      </c>
      <c r="F306" s="4">
        <v>53</v>
      </c>
      <c r="G306" s="4">
        <v>0</v>
      </c>
      <c r="H306" s="4">
        <v>0</v>
      </c>
      <c r="I306" s="4">
        <v>0</v>
      </c>
      <c r="J306" s="4">
        <v>53</v>
      </c>
      <c r="K306" s="4">
        <v>28.61</v>
      </c>
      <c r="L306" s="4">
        <v>1516.33</v>
      </c>
      <c r="M306" s="4">
        <v>0</v>
      </c>
      <c r="N306" s="4">
        <v>0</v>
      </c>
      <c r="O306" s="4">
        <v>0</v>
      </c>
      <c r="P306" s="6">
        <f t="shared" si="4"/>
        <v>1516.33</v>
      </c>
    </row>
    <row r="307" spans="1:16" ht="27.75" outlineLevel="2" x14ac:dyDescent="0.2">
      <c r="A307" s="2">
        <v>140133</v>
      </c>
      <c r="B307" s="1"/>
      <c r="C307" s="2">
        <v>922747</v>
      </c>
      <c r="D307" s="3" t="s">
        <v>291</v>
      </c>
      <c r="E307" s="5" t="s">
        <v>20</v>
      </c>
      <c r="F307" s="4">
        <v>35</v>
      </c>
      <c r="G307" s="4">
        <v>0</v>
      </c>
      <c r="H307" s="4">
        <v>0</v>
      </c>
      <c r="I307" s="4">
        <v>0</v>
      </c>
      <c r="J307" s="4">
        <v>35</v>
      </c>
      <c r="K307" s="4">
        <v>22.72</v>
      </c>
      <c r="L307" s="4">
        <v>795.2</v>
      </c>
      <c r="M307" s="4">
        <v>0</v>
      </c>
      <c r="N307" s="4">
        <v>0</v>
      </c>
      <c r="O307" s="4">
        <v>0</v>
      </c>
      <c r="P307" s="6">
        <f t="shared" si="4"/>
        <v>795.19999999999993</v>
      </c>
    </row>
    <row r="308" spans="1:16" ht="18.75" outlineLevel="2" x14ac:dyDescent="0.2">
      <c r="A308" s="2">
        <v>140134</v>
      </c>
      <c r="B308" s="1"/>
      <c r="C308" s="2">
        <v>920550</v>
      </c>
      <c r="D308" s="3" t="s">
        <v>292</v>
      </c>
      <c r="E308" s="5" t="s">
        <v>20</v>
      </c>
      <c r="F308" s="4">
        <v>128</v>
      </c>
      <c r="G308" s="4">
        <v>0</v>
      </c>
      <c r="H308" s="4">
        <v>0</v>
      </c>
      <c r="I308" s="4">
        <v>0</v>
      </c>
      <c r="J308" s="4">
        <v>128</v>
      </c>
      <c r="K308" s="4">
        <v>20.420000000000002</v>
      </c>
      <c r="L308" s="4">
        <v>2613.7600000000002</v>
      </c>
      <c r="M308" s="4">
        <v>0</v>
      </c>
      <c r="N308" s="4">
        <v>0</v>
      </c>
      <c r="O308" s="4">
        <v>0</v>
      </c>
      <c r="P308" s="6">
        <f t="shared" si="4"/>
        <v>2613.7600000000002</v>
      </c>
    </row>
    <row r="309" spans="1:16" ht="27.75" outlineLevel="2" x14ac:dyDescent="0.2">
      <c r="A309" s="2">
        <v>140135</v>
      </c>
      <c r="B309" s="1"/>
      <c r="C309" s="2">
        <v>922999</v>
      </c>
      <c r="D309" s="3" t="s">
        <v>293</v>
      </c>
      <c r="E309" s="5" t="s">
        <v>15</v>
      </c>
      <c r="F309" s="4">
        <v>363.24</v>
      </c>
      <c r="G309" s="4">
        <v>17.77</v>
      </c>
      <c r="H309" s="4">
        <v>0</v>
      </c>
      <c r="I309" s="4">
        <v>17.77</v>
      </c>
      <c r="J309" s="4">
        <v>345.47</v>
      </c>
      <c r="K309" s="4">
        <v>6.3</v>
      </c>
      <c r="L309" s="4">
        <v>2288.41</v>
      </c>
      <c r="M309" s="4">
        <v>111.95</v>
      </c>
      <c r="N309" s="4">
        <v>0</v>
      </c>
      <c r="O309" s="4">
        <v>111.95</v>
      </c>
      <c r="P309" s="6">
        <f t="shared" si="4"/>
        <v>2176.4610000000002</v>
      </c>
    </row>
    <row r="310" spans="1:16" ht="27.75" outlineLevel="2" x14ac:dyDescent="0.2">
      <c r="A310" s="2">
        <v>140136</v>
      </c>
      <c r="B310" s="1"/>
      <c r="C310" s="2">
        <v>924055</v>
      </c>
      <c r="D310" s="3" t="s">
        <v>294</v>
      </c>
      <c r="E310" s="5" t="s">
        <v>15</v>
      </c>
      <c r="F310" s="4">
        <v>600.23</v>
      </c>
      <c r="G310" s="4">
        <v>600.23</v>
      </c>
      <c r="H310" s="4">
        <v>0</v>
      </c>
      <c r="I310" s="4">
        <v>600.23</v>
      </c>
      <c r="J310" s="4">
        <v>0</v>
      </c>
      <c r="K310" s="4">
        <v>8.43</v>
      </c>
      <c r="L310" s="4">
        <v>5059.93</v>
      </c>
      <c r="M310" s="4">
        <v>5059.93</v>
      </c>
      <c r="N310" s="4">
        <v>0</v>
      </c>
      <c r="O310" s="4">
        <v>5059.93</v>
      </c>
      <c r="P310" s="6">
        <f t="shared" si="4"/>
        <v>0</v>
      </c>
    </row>
    <row r="311" spans="1:16" ht="27.75" outlineLevel="2" x14ac:dyDescent="0.2">
      <c r="A311" s="2">
        <v>140137</v>
      </c>
      <c r="B311" s="1"/>
      <c r="C311" s="2">
        <v>923110</v>
      </c>
      <c r="D311" s="3" t="s">
        <v>295</v>
      </c>
      <c r="E311" s="5" t="s">
        <v>20</v>
      </c>
      <c r="F311" s="4">
        <v>4</v>
      </c>
      <c r="G311" s="4">
        <v>0</v>
      </c>
      <c r="H311" s="4">
        <v>0</v>
      </c>
      <c r="I311" s="4">
        <v>0</v>
      </c>
      <c r="J311" s="4">
        <v>4</v>
      </c>
      <c r="K311" s="4">
        <v>20.9</v>
      </c>
      <c r="L311" s="4">
        <v>83.6</v>
      </c>
      <c r="M311" s="4">
        <v>0</v>
      </c>
      <c r="N311" s="4">
        <v>0</v>
      </c>
      <c r="O311" s="4">
        <v>0</v>
      </c>
      <c r="P311" s="6">
        <f t="shared" si="4"/>
        <v>83.6</v>
      </c>
    </row>
    <row r="312" spans="1:16" ht="27.75" outlineLevel="2" x14ac:dyDescent="0.2">
      <c r="A312" s="2">
        <v>140138</v>
      </c>
      <c r="B312" s="1"/>
      <c r="C312" s="2">
        <v>923108</v>
      </c>
      <c r="D312" s="3" t="s">
        <v>296</v>
      </c>
      <c r="E312" s="5" t="s">
        <v>20</v>
      </c>
      <c r="F312" s="4">
        <v>4</v>
      </c>
      <c r="G312" s="4">
        <v>0</v>
      </c>
      <c r="H312" s="4">
        <v>0</v>
      </c>
      <c r="I312" s="4">
        <v>0</v>
      </c>
      <c r="J312" s="4">
        <v>4</v>
      </c>
      <c r="K312" s="4">
        <v>24.62</v>
      </c>
      <c r="L312" s="4">
        <v>98.48</v>
      </c>
      <c r="M312" s="4">
        <v>0</v>
      </c>
      <c r="N312" s="4">
        <v>0</v>
      </c>
      <c r="O312" s="4">
        <v>0</v>
      </c>
      <c r="P312" s="6">
        <f t="shared" si="4"/>
        <v>98.48</v>
      </c>
    </row>
    <row r="313" spans="1:16" ht="27.75" outlineLevel="2" x14ac:dyDescent="0.2">
      <c r="A313" s="2">
        <v>140139</v>
      </c>
      <c r="B313" s="1"/>
      <c r="C313" s="2">
        <v>921952</v>
      </c>
      <c r="D313" s="3" t="s">
        <v>297</v>
      </c>
      <c r="E313" s="5" t="s">
        <v>15</v>
      </c>
      <c r="F313" s="4">
        <v>83.68</v>
      </c>
      <c r="G313" s="4">
        <v>0</v>
      </c>
      <c r="H313" s="4">
        <v>0</v>
      </c>
      <c r="I313" s="4">
        <v>0</v>
      </c>
      <c r="J313" s="4">
        <v>83.68</v>
      </c>
      <c r="K313" s="4">
        <v>17.32</v>
      </c>
      <c r="L313" s="4">
        <v>1449.33</v>
      </c>
      <c r="M313" s="4">
        <v>0</v>
      </c>
      <c r="N313" s="4">
        <v>0</v>
      </c>
      <c r="O313" s="4">
        <v>0</v>
      </c>
      <c r="P313" s="6">
        <f t="shared" si="4"/>
        <v>1449.3376000000001</v>
      </c>
    </row>
    <row r="314" spans="1:16" ht="36.75" outlineLevel="2" x14ac:dyDescent="0.2">
      <c r="A314" s="2">
        <v>140140</v>
      </c>
      <c r="B314" s="1"/>
      <c r="C314" s="2">
        <v>925414</v>
      </c>
      <c r="D314" s="3" t="s">
        <v>298</v>
      </c>
      <c r="E314" s="5" t="s">
        <v>31</v>
      </c>
      <c r="F314" s="4">
        <v>52</v>
      </c>
      <c r="G314" s="4">
        <v>0</v>
      </c>
      <c r="H314" s="4">
        <v>0</v>
      </c>
      <c r="I314" s="4">
        <v>0</v>
      </c>
      <c r="J314" s="4">
        <v>52</v>
      </c>
      <c r="K314" s="4">
        <v>57.28</v>
      </c>
      <c r="L314" s="4">
        <v>2978.56</v>
      </c>
      <c r="M314" s="4">
        <v>0</v>
      </c>
      <c r="N314" s="4">
        <v>0</v>
      </c>
      <c r="O314" s="4">
        <v>0</v>
      </c>
      <c r="P314" s="6">
        <f t="shared" si="4"/>
        <v>2978.56</v>
      </c>
    </row>
    <row r="315" spans="1:16" ht="27.75" outlineLevel="2" x14ac:dyDescent="0.2">
      <c r="A315" s="2">
        <v>140141</v>
      </c>
      <c r="B315" s="1"/>
      <c r="C315" s="2">
        <v>922746</v>
      </c>
      <c r="D315" s="3" t="s">
        <v>299</v>
      </c>
      <c r="E315" s="5" t="s">
        <v>20</v>
      </c>
      <c r="F315" s="4">
        <v>16</v>
      </c>
      <c r="G315" s="4">
        <v>0</v>
      </c>
      <c r="H315" s="4">
        <v>0</v>
      </c>
      <c r="I315" s="4">
        <v>0</v>
      </c>
      <c r="J315" s="4">
        <v>16</v>
      </c>
      <c r="K315" s="4">
        <v>30.56</v>
      </c>
      <c r="L315" s="4">
        <v>488.96</v>
      </c>
      <c r="M315" s="4">
        <v>0</v>
      </c>
      <c r="N315" s="4">
        <v>0</v>
      </c>
      <c r="O315" s="4">
        <v>0</v>
      </c>
      <c r="P315" s="6">
        <f t="shared" si="4"/>
        <v>488.96</v>
      </c>
    </row>
    <row r="316" spans="1:16" ht="27.75" outlineLevel="2" x14ac:dyDescent="0.2">
      <c r="A316" s="2">
        <v>140142</v>
      </c>
      <c r="B316" s="1"/>
      <c r="C316" s="2">
        <v>923009</v>
      </c>
      <c r="D316" s="3" t="s">
        <v>300</v>
      </c>
      <c r="E316" s="5" t="s">
        <v>20</v>
      </c>
      <c r="F316" s="4">
        <v>4</v>
      </c>
      <c r="G316" s="4">
        <v>0</v>
      </c>
      <c r="H316" s="4">
        <v>0</v>
      </c>
      <c r="I316" s="4">
        <v>0</v>
      </c>
      <c r="J316" s="4">
        <v>4</v>
      </c>
      <c r="K316" s="4">
        <v>22.37</v>
      </c>
      <c r="L316" s="4">
        <v>89.48</v>
      </c>
      <c r="M316" s="4">
        <v>0</v>
      </c>
      <c r="N316" s="4">
        <v>0</v>
      </c>
      <c r="O316" s="4">
        <v>0</v>
      </c>
      <c r="P316" s="6">
        <f t="shared" si="4"/>
        <v>89.48</v>
      </c>
    </row>
    <row r="317" spans="1:16" ht="27.75" outlineLevel="2" x14ac:dyDescent="0.2">
      <c r="A317" s="2">
        <v>140143</v>
      </c>
      <c r="B317" s="1"/>
      <c r="C317" s="2">
        <v>922439</v>
      </c>
      <c r="D317" s="3" t="s">
        <v>301</v>
      </c>
      <c r="E317" s="5" t="s">
        <v>20</v>
      </c>
      <c r="F317" s="4">
        <v>43</v>
      </c>
      <c r="G317" s="4">
        <v>0</v>
      </c>
      <c r="H317" s="4">
        <v>0</v>
      </c>
      <c r="I317" s="4">
        <v>0</v>
      </c>
      <c r="J317" s="4">
        <v>43</v>
      </c>
      <c r="K317" s="4">
        <v>32.83</v>
      </c>
      <c r="L317" s="4">
        <v>1411.69</v>
      </c>
      <c r="M317" s="4">
        <v>0</v>
      </c>
      <c r="N317" s="4">
        <v>0</v>
      </c>
      <c r="O317" s="4">
        <v>0</v>
      </c>
      <c r="P317" s="6">
        <f t="shared" si="4"/>
        <v>1411.6899999999998</v>
      </c>
    </row>
    <row r="318" spans="1:16" ht="27.75" outlineLevel="2" x14ac:dyDescent="0.2">
      <c r="A318" s="2">
        <v>140144</v>
      </c>
      <c r="B318" s="1"/>
      <c r="C318" s="2">
        <v>659080</v>
      </c>
      <c r="D318" s="3" t="s">
        <v>302</v>
      </c>
      <c r="E318" s="5" t="s">
        <v>20</v>
      </c>
      <c r="F318" s="4">
        <v>14</v>
      </c>
      <c r="G318" s="4">
        <v>0</v>
      </c>
      <c r="H318" s="4">
        <v>0</v>
      </c>
      <c r="I318" s="4">
        <v>0</v>
      </c>
      <c r="J318" s="4">
        <v>14</v>
      </c>
      <c r="K318" s="4">
        <v>60.13</v>
      </c>
      <c r="L318" s="4">
        <v>841.82</v>
      </c>
      <c r="M318" s="4">
        <v>0</v>
      </c>
      <c r="N318" s="4">
        <v>0</v>
      </c>
      <c r="O318" s="4">
        <v>0</v>
      </c>
      <c r="P318" s="6">
        <f t="shared" si="4"/>
        <v>841.82</v>
      </c>
    </row>
    <row r="319" spans="1:16" ht="18.75" outlineLevel="2" x14ac:dyDescent="0.2">
      <c r="A319" s="2">
        <v>140145</v>
      </c>
      <c r="B319" s="1"/>
      <c r="C319" s="2">
        <v>925415</v>
      </c>
      <c r="D319" s="3" t="s">
        <v>303</v>
      </c>
      <c r="E319" s="5" t="s">
        <v>20</v>
      </c>
      <c r="F319" s="4">
        <v>41</v>
      </c>
      <c r="G319" s="4">
        <v>0</v>
      </c>
      <c r="H319" s="4">
        <v>0</v>
      </c>
      <c r="I319" s="4">
        <v>0</v>
      </c>
      <c r="J319" s="4">
        <v>41</v>
      </c>
      <c r="K319" s="4">
        <v>148.88</v>
      </c>
      <c r="L319" s="4">
        <v>6104.08</v>
      </c>
      <c r="M319" s="4">
        <v>0</v>
      </c>
      <c r="N319" s="4">
        <v>0</v>
      </c>
      <c r="O319" s="4">
        <v>0</v>
      </c>
      <c r="P319" s="6">
        <f t="shared" si="4"/>
        <v>6104.08</v>
      </c>
    </row>
    <row r="320" spans="1:16" ht="18.75" outlineLevel="2" x14ac:dyDescent="0.2">
      <c r="A320" s="2">
        <v>140146</v>
      </c>
      <c r="B320" s="1"/>
      <c r="C320" s="2">
        <v>925416</v>
      </c>
      <c r="D320" s="3" t="s">
        <v>304</v>
      </c>
      <c r="E320" s="5" t="s">
        <v>20</v>
      </c>
      <c r="F320" s="4">
        <v>21</v>
      </c>
      <c r="G320" s="4">
        <v>0</v>
      </c>
      <c r="H320" s="4">
        <v>0</v>
      </c>
      <c r="I320" s="4">
        <v>0</v>
      </c>
      <c r="J320" s="4">
        <v>21</v>
      </c>
      <c r="K320" s="4">
        <v>41.72</v>
      </c>
      <c r="L320" s="4">
        <v>876.12</v>
      </c>
      <c r="M320" s="4">
        <v>0</v>
      </c>
      <c r="N320" s="4">
        <v>0</v>
      </c>
      <c r="O320" s="4">
        <v>0</v>
      </c>
      <c r="P320" s="6">
        <f t="shared" si="4"/>
        <v>876.12</v>
      </c>
    </row>
    <row r="321" spans="1:16" x14ac:dyDescent="0.2">
      <c r="A321" s="1"/>
      <c r="B321" s="1"/>
      <c r="C321" s="1"/>
      <c r="D321" s="9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6">
        <f t="shared" si="4"/>
        <v>0</v>
      </c>
    </row>
    <row r="322" spans="1:16" x14ac:dyDescent="0.2">
      <c r="A322" s="1"/>
      <c r="B322" s="1"/>
      <c r="C322" s="1"/>
      <c r="D322" s="9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6">
        <f t="shared" si="4"/>
        <v>0</v>
      </c>
    </row>
    <row r="323" spans="1:16" ht="27.75" outlineLevel="2" x14ac:dyDescent="0.2">
      <c r="A323" s="2">
        <v>150100</v>
      </c>
      <c r="B323" s="1"/>
      <c r="C323" s="2">
        <v>925417</v>
      </c>
      <c r="D323" s="7" t="s">
        <v>32</v>
      </c>
      <c r="E323" s="1"/>
      <c r="F323" s="4" t="s">
        <v>9</v>
      </c>
      <c r="G323" s="4">
        <v>0</v>
      </c>
      <c r="H323" s="4">
        <v>0</v>
      </c>
      <c r="I323" s="4">
        <v>0</v>
      </c>
      <c r="J323" s="4">
        <v>0</v>
      </c>
      <c r="K323" s="4" t="s">
        <v>9</v>
      </c>
      <c r="L323" s="4" t="s">
        <v>9</v>
      </c>
      <c r="M323" s="4">
        <v>0</v>
      </c>
      <c r="N323" s="4">
        <v>0</v>
      </c>
      <c r="O323" s="4">
        <v>0</v>
      </c>
      <c r="P323" s="6">
        <f t="shared" si="4"/>
        <v>0</v>
      </c>
    </row>
    <row r="324" spans="1:16" ht="36.75" outlineLevel="2" x14ac:dyDescent="0.2">
      <c r="A324" s="2">
        <v>150101</v>
      </c>
      <c r="B324" s="1"/>
      <c r="C324" s="2">
        <v>925418</v>
      </c>
      <c r="D324" s="3" t="s">
        <v>305</v>
      </c>
      <c r="E324" s="5" t="s">
        <v>20</v>
      </c>
      <c r="F324" s="4">
        <v>1</v>
      </c>
      <c r="G324" s="4">
        <v>0</v>
      </c>
      <c r="H324" s="4">
        <v>0</v>
      </c>
      <c r="I324" s="4">
        <v>0</v>
      </c>
      <c r="J324" s="4">
        <v>1</v>
      </c>
      <c r="K324" s="4">
        <v>102.54</v>
      </c>
      <c r="L324" s="4">
        <v>102.54</v>
      </c>
      <c r="M324" s="4">
        <v>0</v>
      </c>
      <c r="N324" s="4">
        <v>0</v>
      </c>
      <c r="O324" s="4">
        <v>0</v>
      </c>
      <c r="P324" s="6">
        <f t="shared" si="4"/>
        <v>102.54</v>
      </c>
    </row>
    <row r="325" spans="1:16" ht="27.75" outlineLevel="2" x14ac:dyDescent="0.2">
      <c r="A325" s="2">
        <v>150102</v>
      </c>
      <c r="B325" s="1"/>
      <c r="C325" s="2">
        <v>925419</v>
      </c>
      <c r="D325" s="3" t="s">
        <v>306</v>
      </c>
      <c r="E325" s="5" t="s">
        <v>15</v>
      </c>
      <c r="F325" s="4">
        <v>5.55</v>
      </c>
      <c r="G325" s="4">
        <v>0</v>
      </c>
      <c r="H325" s="4">
        <v>0</v>
      </c>
      <c r="I325" s="4">
        <v>0</v>
      </c>
      <c r="J325" s="4">
        <v>5.55</v>
      </c>
      <c r="K325" s="4">
        <v>6.65</v>
      </c>
      <c r="L325" s="4">
        <v>36.9</v>
      </c>
      <c r="M325" s="4">
        <v>0</v>
      </c>
      <c r="N325" s="4">
        <v>0</v>
      </c>
      <c r="O325" s="4">
        <v>0</v>
      </c>
      <c r="P325" s="6">
        <f t="shared" si="4"/>
        <v>36.907499999999999</v>
      </c>
    </row>
    <row r="326" spans="1:16" ht="18.75" outlineLevel="2" x14ac:dyDescent="0.2">
      <c r="A326" s="2">
        <v>150103</v>
      </c>
      <c r="B326" s="1"/>
      <c r="C326" s="2">
        <v>925420</v>
      </c>
      <c r="D326" s="3" t="s">
        <v>307</v>
      </c>
      <c r="E326" s="5" t="s">
        <v>15</v>
      </c>
      <c r="F326" s="4">
        <v>28.88</v>
      </c>
      <c r="G326" s="4">
        <v>0</v>
      </c>
      <c r="H326" s="4">
        <v>0</v>
      </c>
      <c r="I326" s="4">
        <v>0</v>
      </c>
      <c r="J326" s="4">
        <v>28.88</v>
      </c>
      <c r="K326" s="4">
        <v>1.41</v>
      </c>
      <c r="L326" s="4">
        <v>40.72</v>
      </c>
      <c r="M326" s="4">
        <v>0</v>
      </c>
      <c r="N326" s="4">
        <v>0</v>
      </c>
      <c r="O326" s="4">
        <v>0</v>
      </c>
      <c r="P326" s="6">
        <f t="shared" si="4"/>
        <v>40.720799999999997</v>
      </c>
    </row>
    <row r="327" spans="1:16" ht="18.75" outlineLevel="2" x14ac:dyDescent="0.2">
      <c r="A327" s="2">
        <v>150104</v>
      </c>
      <c r="B327" s="1"/>
      <c r="C327" s="2">
        <v>925421</v>
      </c>
      <c r="D327" s="3" t="s">
        <v>308</v>
      </c>
      <c r="E327" s="5" t="s">
        <v>20</v>
      </c>
      <c r="F327" s="4">
        <v>6</v>
      </c>
      <c r="G327" s="4">
        <v>6</v>
      </c>
      <c r="H327" s="4">
        <v>0</v>
      </c>
      <c r="I327" s="4">
        <v>6</v>
      </c>
      <c r="J327" s="4">
        <v>0</v>
      </c>
      <c r="K327" s="4">
        <v>106.98</v>
      </c>
      <c r="L327" s="4">
        <v>641.88</v>
      </c>
      <c r="M327" s="4">
        <v>641.88</v>
      </c>
      <c r="N327" s="4">
        <v>0</v>
      </c>
      <c r="O327" s="4">
        <v>641.88</v>
      </c>
      <c r="P327" s="6">
        <f t="shared" si="4"/>
        <v>0</v>
      </c>
    </row>
    <row r="328" spans="1:16" ht="18.75" outlineLevel="2" x14ac:dyDescent="0.2">
      <c r="A328" s="2">
        <v>150105</v>
      </c>
      <c r="B328" s="1"/>
      <c r="C328" s="2">
        <v>925422</v>
      </c>
      <c r="D328" s="3" t="s">
        <v>309</v>
      </c>
      <c r="E328" s="5" t="s">
        <v>15</v>
      </c>
      <c r="F328" s="4">
        <v>2096.7399999999998</v>
      </c>
      <c r="G328" s="4">
        <v>0</v>
      </c>
      <c r="H328" s="4">
        <v>0</v>
      </c>
      <c r="I328" s="4">
        <v>0</v>
      </c>
      <c r="J328" s="4">
        <v>2096.7399999999998</v>
      </c>
      <c r="K328" s="4">
        <v>5.81</v>
      </c>
      <c r="L328" s="4">
        <v>12182.05</v>
      </c>
      <c r="M328" s="4">
        <v>0</v>
      </c>
      <c r="N328" s="4">
        <v>0</v>
      </c>
      <c r="O328" s="4">
        <v>0</v>
      </c>
      <c r="P328" s="6">
        <f t="shared" si="4"/>
        <v>12182.059399999998</v>
      </c>
    </row>
    <row r="329" spans="1:16" ht="18.75" outlineLevel="2" x14ac:dyDescent="0.2">
      <c r="A329" s="2">
        <v>150106</v>
      </c>
      <c r="B329" s="1"/>
      <c r="C329" s="2">
        <v>925423</v>
      </c>
      <c r="D329" s="3" t="s">
        <v>310</v>
      </c>
      <c r="E329" s="5" t="s">
        <v>20</v>
      </c>
      <c r="F329" s="4">
        <v>79</v>
      </c>
      <c r="G329" s="4">
        <v>0</v>
      </c>
      <c r="H329" s="4">
        <v>0</v>
      </c>
      <c r="I329" s="4">
        <v>0</v>
      </c>
      <c r="J329" s="4">
        <v>79</v>
      </c>
      <c r="K329" s="4">
        <v>44.32</v>
      </c>
      <c r="L329" s="4">
        <v>3501.28</v>
      </c>
      <c r="M329" s="4">
        <v>0</v>
      </c>
      <c r="N329" s="4">
        <v>0</v>
      </c>
      <c r="O329" s="4">
        <v>0</v>
      </c>
      <c r="P329" s="6">
        <f t="shared" si="4"/>
        <v>3501.28</v>
      </c>
    </row>
    <row r="330" spans="1:16" ht="18.75" outlineLevel="2" x14ac:dyDescent="0.2">
      <c r="A330" s="2">
        <v>150107</v>
      </c>
      <c r="B330" s="1"/>
      <c r="C330" s="2">
        <v>925424</v>
      </c>
      <c r="D330" s="3" t="s">
        <v>311</v>
      </c>
      <c r="E330" s="5" t="s">
        <v>20</v>
      </c>
      <c r="F330" s="4">
        <v>8</v>
      </c>
      <c r="G330" s="4">
        <v>1</v>
      </c>
      <c r="H330" s="4">
        <v>0</v>
      </c>
      <c r="I330" s="4">
        <v>1</v>
      </c>
      <c r="J330" s="4">
        <v>7</v>
      </c>
      <c r="K330" s="4">
        <v>56.1</v>
      </c>
      <c r="L330" s="4">
        <v>448.8</v>
      </c>
      <c r="M330" s="4">
        <v>56.1</v>
      </c>
      <c r="N330" s="4">
        <v>0</v>
      </c>
      <c r="O330" s="4">
        <v>56.1</v>
      </c>
      <c r="P330" s="6">
        <f t="shared" si="4"/>
        <v>392.7</v>
      </c>
    </row>
    <row r="331" spans="1:16" ht="27.75" outlineLevel="2" x14ac:dyDescent="0.2">
      <c r="A331" s="2">
        <v>150108</v>
      </c>
      <c r="B331" s="1"/>
      <c r="C331" s="2">
        <v>923000</v>
      </c>
      <c r="D331" s="3" t="s">
        <v>275</v>
      </c>
      <c r="E331" s="5" t="s">
        <v>15</v>
      </c>
      <c r="F331" s="4">
        <v>489.91</v>
      </c>
      <c r="G331" s="4">
        <v>168</v>
      </c>
      <c r="H331" s="4">
        <v>0</v>
      </c>
      <c r="I331" s="4">
        <v>168</v>
      </c>
      <c r="J331" s="4">
        <v>321.91000000000003</v>
      </c>
      <c r="K331" s="4">
        <v>8.82</v>
      </c>
      <c r="L331" s="4">
        <v>4321</v>
      </c>
      <c r="M331" s="4">
        <v>1481.76</v>
      </c>
      <c r="N331" s="4">
        <v>0</v>
      </c>
      <c r="O331" s="4">
        <v>1481.76</v>
      </c>
      <c r="P331" s="6">
        <f t="shared" si="4"/>
        <v>2839.2462000000005</v>
      </c>
    </row>
    <row r="332" spans="1:16" ht="36.75" outlineLevel="2" x14ac:dyDescent="0.2">
      <c r="A332" s="2">
        <v>150109</v>
      </c>
      <c r="B332" s="1"/>
      <c r="C332" s="2">
        <v>925425</v>
      </c>
      <c r="D332" s="3" t="s">
        <v>312</v>
      </c>
      <c r="E332" s="5" t="s">
        <v>20</v>
      </c>
      <c r="F332" s="4">
        <v>1</v>
      </c>
      <c r="G332" s="4">
        <v>0</v>
      </c>
      <c r="H332" s="4">
        <v>0</v>
      </c>
      <c r="I332" s="4">
        <v>0</v>
      </c>
      <c r="J332" s="4">
        <v>1</v>
      </c>
      <c r="K332" s="4">
        <v>175.33</v>
      </c>
      <c r="L332" s="4">
        <v>175.33</v>
      </c>
      <c r="M332" s="4">
        <v>0</v>
      </c>
      <c r="N332" s="4">
        <v>0</v>
      </c>
      <c r="O332" s="4">
        <v>0</v>
      </c>
      <c r="P332" s="6">
        <f t="shared" si="4"/>
        <v>175.33</v>
      </c>
    </row>
    <row r="333" spans="1:16" ht="18.75" outlineLevel="2" x14ac:dyDescent="0.2">
      <c r="A333" s="2">
        <v>150110</v>
      </c>
      <c r="B333" s="1"/>
      <c r="C333" s="2">
        <v>925426</v>
      </c>
      <c r="D333" s="3" t="s">
        <v>313</v>
      </c>
      <c r="E333" s="5" t="s">
        <v>15</v>
      </c>
      <c r="F333" s="4">
        <v>289.64</v>
      </c>
      <c r="G333" s="4">
        <v>0</v>
      </c>
      <c r="H333" s="4">
        <v>0</v>
      </c>
      <c r="I333" s="4">
        <v>0</v>
      </c>
      <c r="J333" s="4">
        <v>289.64</v>
      </c>
      <c r="K333" s="4">
        <v>9.02</v>
      </c>
      <c r="L333" s="4">
        <v>2612.5500000000002</v>
      </c>
      <c r="M333" s="4">
        <v>0</v>
      </c>
      <c r="N333" s="4">
        <v>0</v>
      </c>
      <c r="O333" s="4">
        <v>0</v>
      </c>
      <c r="P333" s="6">
        <f t="shared" si="4"/>
        <v>2612.5527999999999</v>
      </c>
    </row>
    <row r="334" spans="1:16" ht="18.75" outlineLevel="2" x14ac:dyDescent="0.2">
      <c r="A334" s="2">
        <v>150111</v>
      </c>
      <c r="B334" s="1"/>
      <c r="C334" s="2">
        <v>925427</v>
      </c>
      <c r="D334" s="3" t="s">
        <v>314</v>
      </c>
      <c r="E334" s="5" t="s">
        <v>20</v>
      </c>
      <c r="F334" s="4">
        <v>6</v>
      </c>
      <c r="G334" s="4">
        <v>0</v>
      </c>
      <c r="H334" s="4">
        <v>0</v>
      </c>
      <c r="I334" s="4">
        <v>0</v>
      </c>
      <c r="J334" s="4">
        <v>6</v>
      </c>
      <c r="K334" s="4">
        <v>15508.93</v>
      </c>
      <c r="L334" s="4">
        <v>93053.58</v>
      </c>
      <c r="M334" s="4">
        <v>0</v>
      </c>
      <c r="N334" s="4">
        <v>0</v>
      </c>
      <c r="O334" s="4">
        <v>0</v>
      </c>
      <c r="P334" s="6">
        <f t="shared" si="4"/>
        <v>93053.58</v>
      </c>
    </row>
    <row r="335" spans="1:16" ht="18.75" outlineLevel="2" x14ac:dyDescent="0.2">
      <c r="A335" s="2">
        <v>150112</v>
      </c>
      <c r="B335" s="1"/>
      <c r="C335" s="2">
        <v>925428</v>
      </c>
      <c r="D335" s="3" t="s">
        <v>315</v>
      </c>
      <c r="E335" s="5" t="s">
        <v>20</v>
      </c>
      <c r="F335" s="4">
        <v>15</v>
      </c>
      <c r="G335" s="4">
        <v>0</v>
      </c>
      <c r="H335" s="4">
        <v>0</v>
      </c>
      <c r="I335" s="4">
        <v>0</v>
      </c>
      <c r="J335" s="4">
        <v>15</v>
      </c>
      <c r="K335" s="4">
        <v>20.18</v>
      </c>
      <c r="L335" s="4">
        <v>302.7</v>
      </c>
      <c r="M335" s="4">
        <v>0</v>
      </c>
      <c r="N335" s="4">
        <v>0</v>
      </c>
      <c r="O335" s="4">
        <v>0</v>
      </c>
      <c r="P335" s="6">
        <f t="shared" si="4"/>
        <v>302.7</v>
      </c>
    </row>
    <row r="336" spans="1:16" ht="18.75" outlineLevel="2" x14ac:dyDescent="0.2">
      <c r="A336" s="2">
        <v>150113</v>
      </c>
      <c r="B336" s="1"/>
      <c r="C336" s="2">
        <v>925429</v>
      </c>
      <c r="D336" s="3" t="s">
        <v>316</v>
      </c>
      <c r="E336" s="5" t="s">
        <v>20</v>
      </c>
      <c r="F336" s="4">
        <v>22</v>
      </c>
      <c r="G336" s="4">
        <v>0</v>
      </c>
      <c r="H336" s="4">
        <v>0</v>
      </c>
      <c r="I336" s="4">
        <v>0</v>
      </c>
      <c r="J336" s="4">
        <v>22</v>
      </c>
      <c r="K336" s="4">
        <v>7.77</v>
      </c>
      <c r="L336" s="4">
        <v>170.94</v>
      </c>
      <c r="M336" s="4">
        <v>0</v>
      </c>
      <c r="N336" s="4">
        <v>0</v>
      </c>
      <c r="O336" s="4">
        <v>0</v>
      </c>
      <c r="P336" s="6">
        <f t="shared" si="4"/>
        <v>170.94</v>
      </c>
    </row>
    <row r="337" spans="1:16" ht="27.75" outlineLevel="2" x14ac:dyDescent="0.2">
      <c r="A337" s="2">
        <v>150114</v>
      </c>
      <c r="B337" s="1"/>
      <c r="C337" s="2">
        <v>920544</v>
      </c>
      <c r="D337" s="3" t="s">
        <v>287</v>
      </c>
      <c r="E337" s="5" t="s">
        <v>20</v>
      </c>
      <c r="F337" s="4">
        <v>9</v>
      </c>
      <c r="G337" s="4">
        <v>9</v>
      </c>
      <c r="H337" s="4">
        <v>0</v>
      </c>
      <c r="I337" s="4">
        <v>9</v>
      </c>
      <c r="J337" s="4">
        <v>0</v>
      </c>
      <c r="K337" s="4">
        <v>6.34</v>
      </c>
      <c r="L337" s="4">
        <v>57.06</v>
      </c>
      <c r="M337" s="4">
        <v>57.06</v>
      </c>
      <c r="N337" s="4">
        <v>0</v>
      </c>
      <c r="O337" s="4">
        <v>57.06</v>
      </c>
      <c r="P337" s="6">
        <f t="shared" si="4"/>
        <v>0</v>
      </c>
    </row>
    <row r="338" spans="1:16" ht="18.75" outlineLevel="2" x14ac:dyDescent="0.2">
      <c r="A338" s="2">
        <v>150115</v>
      </c>
      <c r="B338" s="1"/>
      <c r="C338" s="2">
        <v>925430</v>
      </c>
      <c r="D338" s="3" t="s">
        <v>317</v>
      </c>
      <c r="E338" s="5" t="s">
        <v>20</v>
      </c>
      <c r="F338" s="4">
        <v>4</v>
      </c>
      <c r="G338" s="4">
        <v>0</v>
      </c>
      <c r="H338" s="4">
        <v>0</v>
      </c>
      <c r="I338" s="4">
        <v>0</v>
      </c>
      <c r="J338" s="4">
        <v>4</v>
      </c>
      <c r="K338" s="4">
        <v>232.84</v>
      </c>
      <c r="L338" s="4">
        <v>931.36</v>
      </c>
      <c r="M338" s="4">
        <v>0</v>
      </c>
      <c r="N338" s="4">
        <v>0</v>
      </c>
      <c r="O338" s="4">
        <v>0</v>
      </c>
      <c r="P338" s="6">
        <f t="shared" si="4"/>
        <v>931.36</v>
      </c>
    </row>
    <row r="339" spans="1:16" ht="27.75" outlineLevel="2" x14ac:dyDescent="0.2">
      <c r="A339" s="2">
        <v>150116</v>
      </c>
      <c r="B339" s="1"/>
      <c r="C339" s="2">
        <v>925431</v>
      </c>
      <c r="D339" s="3" t="s">
        <v>318</v>
      </c>
      <c r="E339" s="5" t="s">
        <v>15</v>
      </c>
      <c r="F339" s="4">
        <v>830.96</v>
      </c>
      <c r="G339" s="4">
        <v>0</v>
      </c>
      <c r="H339" s="4">
        <v>0</v>
      </c>
      <c r="I339" s="4">
        <v>0</v>
      </c>
      <c r="J339" s="4">
        <v>830.96</v>
      </c>
      <c r="K339" s="4">
        <v>41.77</v>
      </c>
      <c r="L339" s="4">
        <v>34709.19</v>
      </c>
      <c r="M339" s="4">
        <v>0</v>
      </c>
      <c r="N339" s="4">
        <v>0</v>
      </c>
      <c r="O339" s="4">
        <v>0</v>
      </c>
      <c r="P339" s="6">
        <f t="shared" si="4"/>
        <v>34709.199200000003</v>
      </c>
    </row>
    <row r="340" spans="1:16" ht="27.75" outlineLevel="2" x14ac:dyDescent="0.2">
      <c r="A340" s="2">
        <v>150117</v>
      </c>
      <c r="B340" s="1"/>
      <c r="C340" s="2">
        <v>925432</v>
      </c>
      <c r="D340" s="3" t="s">
        <v>319</v>
      </c>
      <c r="E340" s="5" t="s">
        <v>15</v>
      </c>
      <c r="F340" s="4">
        <v>1043.79</v>
      </c>
      <c r="G340" s="4">
        <v>0</v>
      </c>
      <c r="H340" s="4">
        <v>0</v>
      </c>
      <c r="I340" s="4">
        <v>0</v>
      </c>
      <c r="J340" s="4">
        <v>1043.79</v>
      </c>
      <c r="K340" s="4">
        <v>51.6</v>
      </c>
      <c r="L340" s="4">
        <v>53859.56</v>
      </c>
      <c r="M340" s="4">
        <v>0</v>
      </c>
      <c r="N340" s="4">
        <v>0</v>
      </c>
      <c r="O340" s="4">
        <v>0</v>
      </c>
      <c r="P340" s="6">
        <f t="shared" si="4"/>
        <v>53859.563999999998</v>
      </c>
    </row>
    <row r="341" spans="1:16" ht="18.75" outlineLevel="2" x14ac:dyDescent="0.2">
      <c r="A341" s="2">
        <v>150118</v>
      </c>
      <c r="B341" s="1"/>
      <c r="C341" s="2">
        <v>925433</v>
      </c>
      <c r="D341" s="3" t="s">
        <v>320</v>
      </c>
      <c r="E341" s="5" t="s">
        <v>20</v>
      </c>
      <c r="F341" s="4">
        <v>45</v>
      </c>
      <c r="G341" s="4">
        <v>0</v>
      </c>
      <c r="H341" s="4">
        <v>0</v>
      </c>
      <c r="I341" s="4">
        <v>0</v>
      </c>
      <c r="J341" s="4">
        <v>45</v>
      </c>
      <c r="K341" s="4">
        <v>46.24</v>
      </c>
      <c r="L341" s="4">
        <v>2080.8000000000002</v>
      </c>
      <c r="M341" s="4">
        <v>0</v>
      </c>
      <c r="N341" s="4">
        <v>0</v>
      </c>
      <c r="O341" s="4">
        <v>0</v>
      </c>
      <c r="P341" s="6">
        <f t="shared" si="4"/>
        <v>2080.8000000000002</v>
      </c>
    </row>
    <row r="342" spans="1:16" ht="18.75" outlineLevel="2" x14ac:dyDescent="0.2">
      <c r="A342" s="2">
        <v>150119</v>
      </c>
      <c r="B342" s="1"/>
      <c r="C342" s="2">
        <v>500006</v>
      </c>
      <c r="D342" s="3" t="s">
        <v>321</v>
      </c>
      <c r="E342" s="5" t="s">
        <v>30</v>
      </c>
      <c r="F342" s="4">
        <v>45</v>
      </c>
      <c r="G342" s="4">
        <v>8</v>
      </c>
      <c r="H342" s="4">
        <v>0</v>
      </c>
      <c r="I342" s="4">
        <v>8</v>
      </c>
      <c r="J342" s="4">
        <v>37</v>
      </c>
      <c r="K342" s="4">
        <v>144.04</v>
      </c>
      <c r="L342" s="4">
        <v>6481.8</v>
      </c>
      <c r="M342" s="4">
        <v>1152.32</v>
      </c>
      <c r="N342" s="4">
        <v>0</v>
      </c>
      <c r="O342" s="4">
        <v>1152.32</v>
      </c>
      <c r="P342" s="6">
        <f t="shared" si="4"/>
        <v>5329.48</v>
      </c>
    </row>
    <row r="343" spans="1:16" ht="18.75" outlineLevel="2" x14ac:dyDescent="0.2">
      <c r="A343" s="2">
        <v>150120</v>
      </c>
      <c r="B343" s="1"/>
      <c r="C343" s="2">
        <v>925434</v>
      </c>
      <c r="D343" s="3" t="s">
        <v>322</v>
      </c>
      <c r="E343" s="5" t="s">
        <v>20</v>
      </c>
      <c r="F343" s="4">
        <v>90</v>
      </c>
      <c r="G343" s="4">
        <v>0</v>
      </c>
      <c r="H343" s="4">
        <v>0</v>
      </c>
      <c r="I343" s="4">
        <v>0</v>
      </c>
      <c r="J343" s="4">
        <v>90</v>
      </c>
      <c r="K343" s="4">
        <v>33.909999999999997</v>
      </c>
      <c r="L343" s="4">
        <v>3051.9</v>
      </c>
      <c r="M343" s="4">
        <v>0</v>
      </c>
      <c r="N343" s="4">
        <v>0</v>
      </c>
      <c r="O343" s="4">
        <v>0</v>
      </c>
      <c r="P343" s="6">
        <f t="shared" ref="P343:P406" si="5">PRODUCT(J343,K343)</f>
        <v>3051.8999999999996</v>
      </c>
    </row>
    <row r="344" spans="1:16" ht="18.75" outlineLevel="2" x14ac:dyDescent="0.2">
      <c r="A344" s="2">
        <v>150121</v>
      </c>
      <c r="B344" s="1"/>
      <c r="C344" s="2">
        <v>925435</v>
      </c>
      <c r="D344" s="3" t="s">
        <v>323</v>
      </c>
      <c r="E344" s="5" t="s">
        <v>20</v>
      </c>
      <c r="F344" s="4">
        <v>39</v>
      </c>
      <c r="G344" s="4">
        <v>0</v>
      </c>
      <c r="H344" s="4">
        <v>0</v>
      </c>
      <c r="I344" s="4">
        <v>0</v>
      </c>
      <c r="J344" s="4">
        <v>39</v>
      </c>
      <c r="K344" s="4">
        <v>23.05</v>
      </c>
      <c r="L344" s="4">
        <v>898.95</v>
      </c>
      <c r="M344" s="4">
        <v>0</v>
      </c>
      <c r="N344" s="4">
        <v>0</v>
      </c>
      <c r="O344" s="4">
        <v>0</v>
      </c>
      <c r="P344" s="6">
        <f t="shared" si="5"/>
        <v>898.95</v>
      </c>
    </row>
    <row r="345" spans="1:16" ht="27.75" outlineLevel="2" x14ac:dyDescent="0.2">
      <c r="A345" s="2">
        <v>150122</v>
      </c>
      <c r="B345" s="1"/>
      <c r="C345" s="2">
        <v>925436</v>
      </c>
      <c r="D345" s="3" t="s">
        <v>324</v>
      </c>
      <c r="E345" s="5" t="s">
        <v>20</v>
      </c>
      <c r="F345" s="4">
        <v>39</v>
      </c>
      <c r="G345" s="4">
        <v>0</v>
      </c>
      <c r="H345" s="4">
        <v>0</v>
      </c>
      <c r="I345" s="4">
        <v>0</v>
      </c>
      <c r="J345" s="4">
        <v>39</v>
      </c>
      <c r="K345" s="4">
        <v>31.5</v>
      </c>
      <c r="L345" s="4">
        <v>1228.5</v>
      </c>
      <c r="M345" s="4">
        <v>0</v>
      </c>
      <c r="N345" s="4">
        <v>0</v>
      </c>
      <c r="O345" s="4">
        <v>0</v>
      </c>
      <c r="P345" s="6">
        <f t="shared" si="5"/>
        <v>1228.5</v>
      </c>
    </row>
    <row r="346" spans="1:16" ht="27.75" outlineLevel="2" x14ac:dyDescent="0.2">
      <c r="A346" s="2">
        <v>150123</v>
      </c>
      <c r="B346" s="1"/>
      <c r="C346" s="2">
        <v>925437</v>
      </c>
      <c r="D346" s="3" t="s">
        <v>325</v>
      </c>
      <c r="E346" s="5" t="s">
        <v>20</v>
      </c>
      <c r="F346" s="4">
        <v>2</v>
      </c>
      <c r="G346" s="4">
        <v>0</v>
      </c>
      <c r="H346" s="4">
        <v>0</v>
      </c>
      <c r="I346" s="4">
        <v>0</v>
      </c>
      <c r="J346" s="4">
        <v>2</v>
      </c>
      <c r="K346" s="4">
        <v>321.73</v>
      </c>
      <c r="L346" s="4">
        <v>643.46</v>
      </c>
      <c r="M346" s="4">
        <v>0</v>
      </c>
      <c r="N346" s="4">
        <v>0</v>
      </c>
      <c r="O346" s="4">
        <v>0</v>
      </c>
      <c r="P346" s="6">
        <f t="shared" si="5"/>
        <v>643.46</v>
      </c>
    </row>
    <row r="347" spans="1:16" ht="27.75" outlineLevel="2" x14ac:dyDescent="0.2">
      <c r="A347" s="2">
        <v>150124</v>
      </c>
      <c r="B347" s="1"/>
      <c r="C347" s="2">
        <v>925438</v>
      </c>
      <c r="D347" s="3" t="s">
        <v>326</v>
      </c>
      <c r="E347" s="5" t="s">
        <v>20</v>
      </c>
      <c r="F347" s="4">
        <v>1</v>
      </c>
      <c r="G347" s="4">
        <v>0</v>
      </c>
      <c r="H347" s="4">
        <v>0</v>
      </c>
      <c r="I347" s="4">
        <v>0</v>
      </c>
      <c r="J347" s="4">
        <v>1</v>
      </c>
      <c r="K347" s="4">
        <v>116.92</v>
      </c>
      <c r="L347" s="4">
        <v>116.92</v>
      </c>
      <c r="M347" s="4">
        <v>0</v>
      </c>
      <c r="N347" s="4">
        <v>0</v>
      </c>
      <c r="O347" s="4">
        <v>0</v>
      </c>
      <c r="P347" s="6">
        <f t="shared" si="5"/>
        <v>116.92</v>
      </c>
    </row>
    <row r="348" spans="1:16" ht="27.75" outlineLevel="2" x14ac:dyDescent="0.2">
      <c r="A348" s="2">
        <v>150125</v>
      </c>
      <c r="B348" s="1"/>
      <c r="C348" s="2">
        <v>925439</v>
      </c>
      <c r="D348" s="3" t="s">
        <v>327</v>
      </c>
      <c r="E348" s="5" t="s">
        <v>20</v>
      </c>
      <c r="F348" s="4">
        <v>2</v>
      </c>
      <c r="G348" s="4">
        <v>0</v>
      </c>
      <c r="H348" s="4">
        <v>0</v>
      </c>
      <c r="I348" s="4">
        <v>0</v>
      </c>
      <c r="J348" s="4">
        <v>2</v>
      </c>
      <c r="K348" s="4">
        <v>186.54</v>
      </c>
      <c r="L348" s="4">
        <v>373.08</v>
      </c>
      <c r="M348" s="4">
        <v>0</v>
      </c>
      <c r="N348" s="4">
        <v>0</v>
      </c>
      <c r="O348" s="4">
        <v>0</v>
      </c>
      <c r="P348" s="6">
        <f t="shared" si="5"/>
        <v>373.08</v>
      </c>
    </row>
    <row r="349" spans="1:16" ht="27.75" outlineLevel="2" x14ac:dyDescent="0.2">
      <c r="A349" s="2">
        <v>150126</v>
      </c>
      <c r="B349" s="1"/>
      <c r="C349" s="2">
        <v>925440</v>
      </c>
      <c r="D349" s="3" t="s">
        <v>328</v>
      </c>
      <c r="E349" s="5" t="s">
        <v>20</v>
      </c>
      <c r="F349" s="4">
        <v>1</v>
      </c>
      <c r="G349" s="4">
        <v>0</v>
      </c>
      <c r="H349" s="4">
        <v>0</v>
      </c>
      <c r="I349" s="4">
        <v>0</v>
      </c>
      <c r="J349" s="4">
        <v>1</v>
      </c>
      <c r="K349" s="4">
        <v>207.62</v>
      </c>
      <c r="L349" s="4">
        <v>207.62</v>
      </c>
      <c r="M349" s="4">
        <v>0</v>
      </c>
      <c r="N349" s="4">
        <v>0</v>
      </c>
      <c r="O349" s="4">
        <v>0</v>
      </c>
      <c r="P349" s="6">
        <f t="shared" si="5"/>
        <v>207.62</v>
      </c>
    </row>
    <row r="350" spans="1:16" ht="27.75" outlineLevel="2" x14ac:dyDescent="0.2">
      <c r="A350" s="2">
        <v>150127</v>
      </c>
      <c r="B350" s="1"/>
      <c r="C350" s="2">
        <v>925441</v>
      </c>
      <c r="D350" s="3" t="s">
        <v>329</v>
      </c>
      <c r="E350" s="5" t="s">
        <v>20</v>
      </c>
      <c r="F350" s="4">
        <v>6</v>
      </c>
      <c r="G350" s="4">
        <v>0</v>
      </c>
      <c r="H350" s="4">
        <v>0</v>
      </c>
      <c r="I350" s="4">
        <v>0</v>
      </c>
      <c r="J350" s="4">
        <v>6</v>
      </c>
      <c r="K350" s="4">
        <v>28.51</v>
      </c>
      <c r="L350" s="4">
        <v>171.06</v>
      </c>
      <c r="M350" s="4">
        <v>0</v>
      </c>
      <c r="N350" s="4">
        <v>0</v>
      </c>
      <c r="O350" s="4">
        <v>0</v>
      </c>
      <c r="P350" s="6">
        <f t="shared" si="5"/>
        <v>171.06</v>
      </c>
    </row>
    <row r="351" spans="1:16" ht="18.75" outlineLevel="2" x14ac:dyDescent="0.2">
      <c r="A351" s="2">
        <v>150128</v>
      </c>
      <c r="B351" s="1"/>
      <c r="C351" s="2">
        <v>948008</v>
      </c>
      <c r="D351" s="3" t="s">
        <v>330</v>
      </c>
      <c r="E351" s="5" t="s">
        <v>20</v>
      </c>
      <c r="F351" s="4">
        <v>13</v>
      </c>
      <c r="G351" s="4">
        <v>0</v>
      </c>
      <c r="H351" s="4">
        <v>0</v>
      </c>
      <c r="I351" s="4">
        <v>0</v>
      </c>
      <c r="J351" s="4">
        <v>13</v>
      </c>
      <c r="K351" s="4">
        <v>539.01</v>
      </c>
      <c r="L351" s="4">
        <v>7007.13</v>
      </c>
      <c r="M351" s="4">
        <v>0</v>
      </c>
      <c r="N351" s="4">
        <v>0</v>
      </c>
      <c r="O351" s="4">
        <v>0</v>
      </c>
      <c r="P351" s="6">
        <f t="shared" si="5"/>
        <v>7007.13</v>
      </c>
    </row>
    <row r="352" spans="1:16" ht="27.75" outlineLevel="2" x14ac:dyDescent="0.2">
      <c r="A352" s="2">
        <v>150129</v>
      </c>
      <c r="B352" s="1"/>
      <c r="C352" s="2">
        <v>950209</v>
      </c>
      <c r="D352" s="3" t="s">
        <v>331</v>
      </c>
      <c r="E352" s="5" t="s">
        <v>10</v>
      </c>
      <c r="F352" s="4">
        <v>13</v>
      </c>
      <c r="G352" s="4">
        <v>0</v>
      </c>
      <c r="H352" s="4">
        <v>0</v>
      </c>
      <c r="I352" s="4">
        <v>0</v>
      </c>
      <c r="J352" s="4">
        <v>13</v>
      </c>
      <c r="K352" s="4">
        <v>27.6</v>
      </c>
      <c r="L352" s="4">
        <v>358.8</v>
      </c>
      <c r="M352" s="4">
        <v>0</v>
      </c>
      <c r="N352" s="4">
        <v>0</v>
      </c>
      <c r="O352" s="4">
        <v>0</v>
      </c>
      <c r="P352" s="6">
        <f t="shared" si="5"/>
        <v>358.8</v>
      </c>
    </row>
    <row r="353" spans="1:16" ht="45.75" outlineLevel="2" x14ac:dyDescent="0.2">
      <c r="A353" s="2">
        <v>150130</v>
      </c>
      <c r="B353" s="1"/>
      <c r="C353" s="2">
        <v>925442</v>
      </c>
      <c r="D353" s="3" t="s">
        <v>332</v>
      </c>
      <c r="E353" s="5" t="s">
        <v>31</v>
      </c>
      <c r="F353" s="4">
        <v>49</v>
      </c>
      <c r="G353" s="4">
        <v>0</v>
      </c>
      <c r="H353" s="4">
        <v>0</v>
      </c>
      <c r="I353" s="4">
        <v>0</v>
      </c>
      <c r="J353" s="4">
        <v>49</v>
      </c>
      <c r="K353" s="4">
        <v>57.28</v>
      </c>
      <c r="L353" s="4">
        <v>2806.72</v>
      </c>
      <c r="M353" s="4">
        <v>0</v>
      </c>
      <c r="N353" s="4">
        <v>0</v>
      </c>
      <c r="O353" s="4">
        <v>0</v>
      </c>
      <c r="P353" s="6">
        <f t="shared" si="5"/>
        <v>2806.7200000000003</v>
      </c>
    </row>
    <row r="354" spans="1:16" ht="36.75" outlineLevel="2" x14ac:dyDescent="0.2">
      <c r="A354" s="2">
        <v>150131</v>
      </c>
      <c r="B354" s="1"/>
      <c r="C354" s="2">
        <v>925443</v>
      </c>
      <c r="D354" s="3" t="s">
        <v>333</v>
      </c>
      <c r="E354" s="5" t="s">
        <v>20</v>
      </c>
      <c r="F354" s="4">
        <v>13</v>
      </c>
      <c r="G354" s="4">
        <v>0</v>
      </c>
      <c r="H354" s="4">
        <v>0</v>
      </c>
      <c r="I354" s="4">
        <v>0</v>
      </c>
      <c r="J354" s="4">
        <v>13</v>
      </c>
      <c r="K354" s="4">
        <v>45.5</v>
      </c>
      <c r="L354" s="4">
        <v>591.5</v>
      </c>
      <c r="M354" s="4">
        <v>0</v>
      </c>
      <c r="N354" s="4">
        <v>0</v>
      </c>
      <c r="O354" s="4">
        <v>0</v>
      </c>
      <c r="P354" s="6">
        <f t="shared" si="5"/>
        <v>591.5</v>
      </c>
    </row>
    <row r="355" spans="1:16" ht="18.75" outlineLevel="2" x14ac:dyDescent="0.2">
      <c r="A355" s="2">
        <v>150132</v>
      </c>
      <c r="B355" s="1"/>
      <c r="C355" s="2">
        <v>925444</v>
      </c>
      <c r="D355" s="3" t="s">
        <v>334</v>
      </c>
      <c r="E355" s="5" t="s">
        <v>20</v>
      </c>
      <c r="F355" s="4">
        <v>38</v>
      </c>
      <c r="G355" s="4">
        <v>0</v>
      </c>
      <c r="H355" s="4">
        <v>0</v>
      </c>
      <c r="I355" s="4">
        <v>0</v>
      </c>
      <c r="J355" s="4">
        <v>38</v>
      </c>
      <c r="K355" s="4">
        <v>47.91</v>
      </c>
      <c r="L355" s="4">
        <v>1820.58</v>
      </c>
      <c r="M355" s="4">
        <v>0</v>
      </c>
      <c r="N355" s="4">
        <v>0</v>
      </c>
      <c r="O355" s="4">
        <v>0</v>
      </c>
      <c r="P355" s="6">
        <f t="shared" si="5"/>
        <v>1820.58</v>
      </c>
    </row>
    <row r="356" spans="1:16" ht="36.75" outlineLevel="2" x14ac:dyDescent="0.2">
      <c r="A356" s="2">
        <v>150133</v>
      </c>
      <c r="B356" s="1"/>
      <c r="C356" s="2">
        <v>920404</v>
      </c>
      <c r="D356" s="3" t="s">
        <v>335</v>
      </c>
      <c r="E356" s="5" t="s">
        <v>15</v>
      </c>
      <c r="F356" s="4">
        <v>7</v>
      </c>
      <c r="G356" s="4">
        <v>0</v>
      </c>
      <c r="H356" s="4">
        <v>0</v>
      </c>
      <c r="I356" s="4">
        <v>0</v>
      </c>
      <c r="J356" s="4">
        <v>7</v>
      </c>
      <c r="K356" s="4">
        <v>22.99</v>
      </c>
      <c r="L356" s="4">
        <v>160.93</v>
      </c>
      <c r="M356" s="4">
        <v>0</v>
      </c>
      <c r="N356" s="4">
        <v>0</v>
      </c>
      <c r="O356" s="4">
        <v>0</v>
      </c>
      <c r="P356" s="6">
        <f t="shared" si="5"/>
        <v>160.92999999999998</v>
      </c>
    </row>
    <row r="357" spans="1:16" ht="27.75" outlineLevel="2" x14ac:dyDescent="0.2">
      <c r="A357" s="2">
        <v>150134</v>
      </c>
      <c r="B357" s="1"/>
      <c r="C357" s="2">
        <v>920402</v>
      </c>
      <c r="D357" s="3" t="s">
        <v>336</v>
      </c>
      <c r="E357" s="5" t="s">
        <v>20</v>
      </c>
      <c r="F357" s="4">
        <v>2</v>
      </c>
      <c r="G357" s="4">
        <v>0</v>
      </c>
      <c r="H357" s="4">
        <v>0</v>
      </c>
      <c r="I357" s="4">
        <v>0</v>
      </c>
      <c r="J357" s="4">
        <v>2</v>
      </c>
      <c r="K357" s="4">
        <v>20.59</v>
      </c>
      <c r="L357" s="4">
        <v>41.18</v>
      </c>
      <c r="M357" s="4">
        <v>0</v>
      </c>
      <c r="N357" s="4">
        <v>0</v>
      </c>
      <c r="O357" s="4">
        <v>0</v>
      </c>
      <c r="P357" s="6">
        <f t="shared" si="5"/>
        <v>41.18</v>
      </c>
    </row>
    <row r="358" spans="1:16" ht="27.75" outlineLevel="2" x14ac:dyDescent="0.2">
      <c r="A358" s="2">
        <v>150135</v>
      </c>
      <c r="B358" s="1"/>
      <c r="C358" s="2">
        <v>925445</v>
      </c>
      <c r="D358" s="3" t="s">
        <v>337</v>
      </c>
      <c r="E358" s="5" t="s">
        <v>15</v>
      </c>
      <c r="F358" s="4">
        <v>7</v>
      </c>
      <c r="G358" s="4">
        <v>0</v>
      </c>
      <c r="H358" s="4">
        <v>0</v>
      </c>
      <c r="I358" s="4">
        <v>0</v>
      </c>
      <c r="J358" s="4">
        <v>7</v>
      </c>
      <c r="K358" s="4">
        <v>7.15</v>
      </c>
      <c r="L358" s="4">
        <v>50.05</v>
      </c>
      <c r="M358" s="4">
        <v>0</v>
      </c>
      <c r="N358" s="4">
        <v>0</v>
      </c>
      <c r="O358" s="4">
        <v>0</v>
      </c>
      <c r="P358" s="6">
        <f t="shared" si="5"/>
        <v>50.050000000000004</v>
      </c>
    </row>
    <row r="359" spans="1:16" ht="45.75" outlineLevel="2" x14ac:dyDescent="0.2">
      <c r="A359" s="2">
        <v>150136</v>
      </c>
      <c r="B359" s="1"/>
      <c r="C359" s="2">
        <v>922253</v>
      </c>
      <c r="D359" s="3" t="s">
        <v>338</v>
      </c>
      <c r="E359" s="5" t="s">
        <v>20</v>
      </c>
      <c r="F359" s="4">
        <v>6</v>
      </c>
      <c r="G359" s="4">
        <v>0</v>
      </c>
      <c r="H359" s="4">
        <v>0</v>
      </c>
      <c r="I359" s="4">
        <v>0</v>
      </c>
      <c r="J359" s="4">
        <v>6</v>
      </c>
      <c r="K359" s="4">
        <v>55.9</v>
      </c>
      <c r="L359" s="4">
        <v>335.4</v>
      </c>
      <c r="M359" s="4">
        <v>0</v>
      </c>
      <c r="N359" s="4">
        <v>0</v>
      </c>
      <c r="O359" s="4">
        <v>0</v>
      </c>
      <c r="P359" s="6">
        <f t="shared" si="5"/>
        <v>335.4</v>
      </c>
    </row>
    <row r="360" spans="1:16" ht="18.75" outlineLevel="2" x14ac:dyDescent="0.2">
      <c r="A360" s="2">
        <v>150137</v>
      </c>
      <c r="B360" s="1"/>
      <c r="C360" s="2">
        <v>925446</v>
      </c>
      <c r="D360" s="3" t="s">
        <v>339</v>
      </c>
      <c r="E360" s="5" t="s">
        <v>20</v>
      </c>
      <c r="F360" s="4">
        <v>1</v>
      </c>
      <c r="G360" s="4">
        <v>0</v>
      </c>
      <c r="H360" s="4">
        <v>0</v>
      </c>
      <c r="I360" s="4">
        <v>0</v>
      </c>
      <c r="J360" s="4">
        <v>1</v>
      </c>
      <c r="K360" s="4">
        <v>628.30999999999995</v>
      </c>
      <c r="L360" s="4">
        <v>628.30999999999995</v>
      </c>
      <c r="M360" s="4">
        <v>0</v>
      </c>
      <c r="N360" s="4">
        <v>0</v>
      </c>
      <c r="O360" s="4">
        <v>0</v>
      </c>
      <c r="P360" s="6">
        <f t="shared" si="5"/>
        <v>628.30999999999995</v>
      </c>
    </row>
    <row r="361" spans="1:16" ht="18.75" outlineLevel="2" x14ac:dyDescent="0.2">
      <c r="A361" s="2">
        <v>150138</v>
      </c>
      <c r="B361" s="1"/>
      <c r="C361" s="2">
        <v>925447</v>
      </c>
      <c r="D361" s="3" t="s">
        <v>340</v>
      </c>
      <c r="E361" s="5" t="s">
        <v>20</v>
      </c>
      <c r="F361" s="4">
        <v>4</v>
      </c>
      <c r="G361" s="4">
        <v>0</v>
      </c>
      <c r="H361" s="4">
        <v>0</v>
      </c>
      <c r="I361" s="4">
        <v>0</v>
      </c>
      <c r="J361" s="4">
        <v>4</v>
      </c>
      <c r="K361" s="4">
        <v>42.32</v>
      </c>
      <c r="L361" s="4">
        <v>169.28</v>
      </c>
      <c r="M361" s="4">
        <v>0</v>
      </c>
      <c r="N361" s="4">
        <v>0</v>
      </c>
      <c r="O361" s="4">
        <v>0</v>
      </c>
      <c r="P361" s="6">
        <f t="shared" si="5"/>
        <v>169.28</v>
      </c>
    </row>
    <row r="362" spans="1:16" ht="18.75" outlineLevel="2" x14ac:dyDescent="0.2">
      <c r="A362" s="2">
        <v>150139</v>
      </c>
      <c r="B362" s="1"/>
      <c r="C362" s="2">
        <v>950321</v>
      </c>
      <c r="D362" s="3" t="s">
        <v>341</v>
      </c>
      <c r="E362" s="5" t="s">
        <v>10</v>
      </c>
      <c r="F362" s="4">
        <v>1</v>
      </c>
      <c r="G362" s="4">
        <v>0</v>
      </c>
      <c r="H362" s="4">
        <v>0</v>
      </c>
      <c r="I362" s="4">
        <v>0</v>
      </c>
      <c r="J362" s="4">
        <v>1</v>
      </c>
      <c r="K362" s="4">
        <v>117.95</v>
      </c>
      <c r="L362" s="4">
        <v>117.95</v>
      </c>
      <c r="M362" s="4">
        <v>0</v>
      </c>
      <c r="N362" s="4">
        <v>0</v>
      </c>
      <c r="O362" s="4">
        <v>0</v>
      </c>
      <c r="P362" s="6">
        <f t="shared" si="5"/>
        <v>117.95</v>
      </c>
    </row>
    <row r="363" spans="1:16" ht="27.75" outlineLevel="2" x14ac:dyDescent="0.2">
      <c r="A363" s="2">
        <v>150140</v>
      </c>
      <c r="B363" s="1"/>
      <c r="C363" s="2">
        <v>923368</v>
      </c>
      <c r="D363" s="3" t="s">
        <v>342</v>
      </c>
      <c r="E363" s="5" t="s">
        <v>15</v>
      </c>
      <c r="F363" s="4">
        <v>6</v>
      </c>
      <c r="G363" s="4">
        <v>0</v>
      </c>
      <c r="H363" s="4">
        <v>0</v>
      </c>
      <c r="I363" s="4">
        <v>0</v>
      </c>
      <c r="J363" s="4">
        <v>6</v>
      </c>
      <c r="K363" s="4">
        <v>46.12</v>
      </c>
      <c r="L363" s="4">
        <v>276.72000000000003</v>
      </c>
      <c r="M363" s="4">
        <v>0</v>
      </c>
      <c r="N363" s="4">
        <v>0</v>
      </c>
      <c r="O363" s="4">
        <v>0</v>
      </c>
      <c r="P363" s="6">
        <f t="shared" si="5"/>
        <v>276.71999999999997</v>
      </c>
    </row>
    <row r="364" spans="1:16" ht="18.75" outlineLevel="2" x14ac:dyDescent="0.2">
      <c r="A364" s="2">
        <v>150141</v>
      </c>
      <c r="B364" s="1"/>
      <c r="C364" s="2">
        <v>925448</v>
      </c>
      <c r="D364" s="3" t="s">
        <v>343</v>
      </c>
      <c r="E364" s="5" t="s">
        <v>20</v>
      </c>
      <c r="F364" s="4">
        <v>4</v>
      </c>
      <c r="G364" s="4">
        <v>0</v>
      </c>
      <c r="H364" s="4">
        <v>0</v>
      </c>
      <c r="I364" s="4">
        <v>0</v>
      </c>
      <c r="J364" s="4">
        <v>4</v>
      </c>
      <c r="K364" s="4">
        <v>38.92</v>
      </c>
      <c r="L364" s="4">
        <v>155.68</v>
      </c>
      <c r="M364" s="4">
        <v>0</v>
      </c>
      <c r="N364" s="4">
        <v>0</v>
      </c>
      <c r="O364" s="4">
        <v>0</v>
      </c>
      <c r="P364" s="6">
        <f t="shared" si="5"/>
        <v>155.68</v>
      </c>
    </row>
    <row r="365" spans="1:16" outlineLevel="2" x14ac:dyDescent="0.2">
      <c r="A365" s="2">
        <v>150142</v>
      </c>
      <c r="B365" s="1"/>
      <c r="C365" s="2">
        <v>921119</v>
      </c>
      <c r="D365" s="3" t="s">
        <v>63</v>
      </c>
      <c r="E365" s="5" t="s">
        <v>11</v>
      </c>
      <c r="F365" s="4">
        <v>0.95</v>
      </c>
      <c r="G365" s="4">
        <v>0</v>
      </c>
      <c r="H365" s="4">
        <v>0</v>
      </c>
      <c r="I365" s="4">
        <v>0</v>
      </c>
      <c r="J365" s="4">
        <v>0.95</v>
      </c>
      <c r="K365" s="4">
        <v>54.83</v>
      </c>
      <c r="L365" s="4">
        <v>52.08</v>
      </c>
      <c r="M365" s="4">
        <v>0</v>
      </c>
      <c r="N365" s="4">
        <v>0</v>
      </c>
      <c r="O365" s="4">
        <v>0</v>
      </c>
      <c r="P365" s="6">
        <f t="shared" si="5"/>
        <v>52.088499999999996</v>
      </c>
    </row>
    <row r="366" spans="1:16" ht="18.75" outlineLevel="2" x14ac:dyDescent="0.2">
      <c r="A366" s="2">
        <v>150143</v>
      </c>
      <c r="B366" s="1"/>
      <c r="C366" s="2">
        <v>296692</v>
      </c>
      <c r="D366" s="3" t="s">
        <v>344</v>
      </c>
      <c r="E366" s="5" t="s">
        <v>24</v>
      </c>
      <c r="F366" s="4">
        <v>1.35</v>
      </c>
      <c r="G366" s="4">
        <v>0</v>
      </c>
      <c r="H366" s="4">
        <v>0</v>
      </c>
      <c r="I366" s="4">
        <v>0</v>
      </c>
      <c r="J366" s="4">
        <v>1.35</v>
      </c>
      <c r="K366" s="4">
        <v>4.04</v>
      </c>
      <c r="L366" s="4">
        <v>5.45</v>
      </c>
      <c r="M366" s="4">
        <v>0</v>
      </c>
      <c r="N366" s="4">
        <v>0</v>
      </c>
      <c r="O366" s="4">
        <v>0</v>
      </c>
      <c r="P366" s="6">
        <f t="shared" si="5"/>
        <v>5.4540000000000006</v>
      </c>
    </row>
    <row r="367" spans="1:16" ht="18.75" outlineLevel="2" x14ac:dyDescent="0.2">
      <c r="A367" s="2">
        <v>150144</v>
      </c>
      <c r="B367" s="1"/>
      <c r="C367" s="2">
        <v>925449</v>
      </c>
      <c r="D367" s="3" t="s">
        <v>345</v>
      </c>
      <c r="E367" s="5" t="s">
        <v>11</v>
      </c>
      <c r="F367" s="4">
        <v>0.16</v>
      </c>
      <c r="G367" s="4">
        <v>0</v>
      </c>
      <c r="H367" s="4">
        <v>0</v>
      </c>
      <c r="I367" s="4">
        <v>0</v>
      </c>
      <c r="J367" s="4">
        <v>0.16</v>
      </c>
      <c r="K367" s="4">
        <v>79.260000000000005</v>
      </c>
      <c r="L367" s="4">
        <v>12.68</v>
      </c>
      <c r="M367" s="4">
        <v>0</v>
      </c>
      <c r="N367" s="4">
        <v>0</v>
      </c>
      <c r="O367" s="4">
        <v>0</v>
      </c>
      <c r="P367" s="6">
        <f t="shared" si="5"/>
        <v>12.681600000000001</v>
      </c>
    </row>
    <row r="368" spans="1:16" ht="27.75" outlineLevel="2" x14ac:dyDescent="0.2">
      <c r="A368" s="2">
        <v>150145</v>
      </c>
      <c r="B368" s="1"/>
      <c r="C368" s="2">
        <v>925450</v>
      </c>
      <c r="D368" s="3" t="s">
        <v>346</v>
      </c>
      <c r="E368" s="5" t="s">
        <v>10</v>
      </c>
      <c r="F368" s="4">
        <v>5.4</v>
      </c>
      <c r="G368" s="4">
        <v>0</v>
      </c>
      <c r="H368" s="4">
        <v>0</v>
      </c>
      <c r="I368" s="4">
        <v>0</v>
      </c>
      <c r="J368" s="4">
        <v>5.4</v>
      </c>
      <c r="K368" s="4">
        <v>53.22</v>
      </c>
      <c r="L368" s="4">
        <v>287.38</v>
      </c>
      <c r="M368" s="4">
        <v>0</v>
      </c>
      <c r="N368" s="4">
        <v>0</v>
      </c>
      <c r="O368" s="4">
        <v>0</v>
      </c>
      <c r="P368" s="6">
        <f t="shared" si="5"/>
        <v>287.38800000000003</v>
      </c>
    </row>
    <row r="369" spans="1:16" ht="18.75" outlineLevel="2" x14ac:dyDescent="0.2">
      <c r="A369" s="2">
        <v>150146</v>
      </c>
      <c r="B369" s="1"/>
      <c r="C369" s="2">
        <v>925451</v>
      </c>
      <c r="D369" s="3" t="s">
        <v>347</v>
      </c>
      <c r="E369" s="5" t="s">
        <v>11</v>
      </c>
      <c r="F369" s="4">
        <v>0.77</v>
      </c>
      <c r="G369" s="4">
        <v>0</v>
      </c>
      <c r="H369" s="4">
        <v>0</v>
      </c>
      <c r="I369" s="4">
        <v>0</v>
      </c>
      <c r="J369" s="4">
        <v>0.77</v>
      </c>
      <c r="K369" s="4">
        <v>311.18</v>
      </c>
      <c r="L369" s="4">
        <v>239.6</v>
      </c>
      <c r="M369" s="4">
        <v>0</v>
      </c>
      <c r="N369" s="4">
        <v>0</v>
      </c>
      <c r="O369" s="4">
        <v>0</v>
      </c>
      <c r="P369" s="6">
        <f t="shared" si="5"/>
        <v>239.60860000000002</v>
      </c>
    </row>
    <row r="370" spans="1:16" ht="27.75" outlineLevel="2" x14ac:dyDescent="0.2">
      <c r="A370" s="2">
        <v>150147</v>
      </c>
      <c r="B370" s="1"/>
      <c r="C370" s="2">
        <v>925452</v>
      </c>
      <c r="D370" s="3" t="s">
        <v>348</v>
      </c>
      <c r="E370" s="5" t="s">
        <v>16</v>
      </c>
      <c r="F370" s="4">
        <v>15.3</v>
      </c>
      <c r="G370" s="4">
        <v>0</v>
      </c>
      <c r="H370" s="4">
        <v>0</v>
      </c>
      <c r="I370" s="4">
        <v>0</v>
      </c>
      <c r="J370" s="4">
        <v>15.3</v>
      </c>
      <c r="K370" s="4">
        <v>6.86</v>
      </c>
      <c r="L370" s="4">
        <v>104.95</v>
      </c>
      <c r="M370" s="4">
        <v>0</v>
      </c>
      <c r="N370" s="4">
        <v>0</v>
      </c>
      <c r="O370" s="4">
        <v>0</v>
      </c>
      <c r="P370" s="6">
        <f t="shared" si="5"/>
        <v>104.95800000000001</v>
      </c>
    </row>
    <row r="371" spans="1:16" ht="27.75" outlineLevel="2" x14ac:dyDescent="0.2">
      <c r="A371" s="2">
        <v>150148</v>
      </c>
      <c r="B371" s="1"/>
      <c r="C371" s="2">
        <v>925453</v>
      </c>
      <c r="D371" s="3" t="s">
        <v>349</v>
      </c>
      <c r="E371" s="5" t="s">
        <v>16</v>
      </c>
      <c r="F371" s="4">
        <v>61.2</v>
      </c>
      <c r="G371" s="4">
        <v>0</v>
      </c>
      <c r="H371" s="4">
        <v>0</v>
      </c>
      <c r="I371" s="4">
        <v>0</v>
      </c>
      <c r="J371" s="4">
        <v>61.2</v>
      </c>
      <c r="K371" s="4">
        <v>6.26</v>
      </c>
      <c r="L371" s="4">
        <v>383.11</v>
      </c>
      <c r="M371" s="4">
        <v>0</v>
      </c>
      <c r="N371" s="4">
        <v>0</v>
      </c>
      <c r="O371" s="4">
        <v>0</v>
      </c>
      <c r="P371" s="6">
        <f t="shared" si="5"/>
        <v>383.11200000000002</v>
      </c>
    </row>
    <row r="372" spans="1:16" ht="36.75" outlineLevel="2" x14ac:dyDescent="0.2">
      <c r="A372" s="2">
        <v>150149</v>
      </c>
      <c r="B372" s="1"/>
      <c r="C372" s="2">
        <v>924511</v>
      </c>
      <c r="D372" s="3" t="s">
        <v>350</v>
      </c>
      <c r="E372" s="5" t="s">
        <v>16</v>
      </c>
      <c r="F372" s="4">
        <v>15.3</v>
      </c>
      <c r="G372" s="4">
        <v>0</v>
      </c>
      <c r="H372" s="4">
        <v>0</v>
      </c>
      <c r="I372" s="4">
        <v>0</v>
      </c>
      <c r="J372" s="4">
        <v>15.3</v>
      </c>
      <c r="K372" s="4">
        <v>9.8699999999999992</v>
      </c>
      <c r="L372" s="4">
        <v>151.01</v>
      </c>
      <c r="M372" s="4">
        <v>0</v>
      </c>
      <c r="N372" s="4">
        <v>0</v>
      </c>
      <c r="O372" s="4">
        <v>0</v>
      </c>
      <c r="P372" s="6">
        <f t="shared" si="5"/>
        <v>151.011</v>
      </c>
    </row>
    <row r="373" spans="1:16" ht="27.75" outlineLevel="2" x14ac:dyDescent="0.2">
      <c r="A373" s="2">
        <v>150150</v>
      </c>
      <c r="B373" s="1"/>
      <c r="C373" s="2">
        <v>925454</v>
      </c>
      <c r="D373" s="3" t="s">
        <v>351</v>
      </c>
      <c r="E373" s="5" t="s">
        <v>16</v>
      </c>
      <c r="F373" s="4">
        <v>61.2</v>
      </c>
      <c r="G373" s="4">
        <v>0</v>
      </c>
      <c r="H373" s="4">
        <v>0</v>
      </c>
      <c r="I373" s="4">
        <v>0</v>
      </c>
      <c r="J373" s="4">
        <v>61.2</v>
      </c>
      <c r="K373" s="4">
        <v>8.0500000000000007</v>
      </c>
      <c r="L373" s="4">
        <v>492.66</v>
      </c>
      <c r="M373" s="4">
        <v>0</v>
      </c>
      <c r="N373" s="4">
        <v>0</v>
      </c>
      <c r="O373" s="4">
        <v>0</v>
      </c>
      <c r="P373" s="6">
        <f t="shared" si="5"/>
        <v>492.66000000000008</v>
      </c>
    </row>
    <row r="374" spans="1:16" ht="18.75" outlineLevel="2" x14ac:dyDescent="0.2">
      <c r="A374" s="2">
        <v>150151</v>
      </c>
      <c r="B374" s="1"/>
      <c r="C374" s="2">
        <v>922338</v>
      </c>
      <c r="D374" s="3" t="s">
        <v>74</v>
      </c>
      <c r="E374" s="5" t="s">
        <v>10</v>
      </c>
      <c r="F374" s="4">
        <v>6.75</v>
      </c>
      <c r="G374" s="4">
        <v>0</v>
      </c>
      <c r="H374" s="4">
        <v>0</v>
      </c>
      <c r="I374" s="4">
        <v>0</v>
      </c>
      <c r="J374" s="4">
        <v>6.75</v>
      </c>
      <c r="K374" s="4">
        <v>8.33</v>
      </c>
      <c r="L374" s="4">
        <v>56.22</v>
      </c>
      <c r="M374" s="4">
        <v>0</v>
      </c>
      <c r="N374" s="4">
        <v>0</v>
      </c>
      <c r="O374" s="4">
        <v>0</v>
      </c>
      <c r="P374" s="6">
        <f t="shared" si="5"/>
        <v>56.227499999999999</v>
      </c>
    </row>
    <row r="375" spans="1:16" ht="18.75" outlineLevel="2" x14ac:dyDescent="0.2">
      <c r="A375" s="2">
        <v>150152</v>
      </c>
      <c r="B375" s="1"/>
      <c r="C375" s="2">
        <v>925455</v>
      </c>
      <c r="D375" s="3" t="s">
        <v>352</v>
      </c>
      <c r="E375" s="5" t="s">
        <v>11</v>
      </c>
      <c r="F375" s="4">
        <v>0.54</v>
      </c>
      <c r="G375" s="4">
        <v>0</v>
      </c>
      <c r="H375" s="4">
        <v>0</v>
      </c>
      <c r="I375" s="4">
        <v>0</v>
      </c>
      <c r="J375" s="4">
        <v>0.54</v>
      </c>
      <c r="K375" s="4">
        <v>41.58</v>
      </c>
      <c r="L375" s="4">
        <v>22.45</v>
      </c>
      <c r="M375" s="4">
        <v>0</v>
      </c>
      <c r="N375" s="4">
        <v>0</v>
      </c>
      <c r="O375" s="4">
        <v>0</v>
      </c>
      <c r="P375" s="6">
        <f t="shared" si="5"/>
        <v>22.453199999999999</v>
      </c>
    </row>
    <row r="376" spans="1:16" ht="36.75" outlineLevel="2" x14ac:dyDescent="0.2">
      <c r="A376" s="2">
        <v>150153</v>
      </c>
      <c r="B376" s="1"/>
      <c r="C376" s="2">
        <v>925456</v>
      </c>
      <c r="D376" s="3" t="s">
        <v>353</v>
      </c>
      <c r="E376" s="5" t="s">
        <v>10</v>
      </c>
      <c r="F376" s="4">
        <v>3.75</v>
      </c>
      <c r="G376" s="4">
        <v>0</v>
      </c>
      <c r="H376" s="4">
        <v>0</v>
      </c>
      <c r="I376" s="4">
        <v>0</v>
      </c>
      <c r="J376" s="4">
        <v>3.75</v>
      </c>
      <c r="K376" s="4">
        <v>76.97</v>
      </c>
      <c r="L376" s="4">
        <v>288.63</v>
      </c>
      <c r="M376" s="4">
        <v>0</v>
      </c>
      <c r="N376" s="4">
        <v>0</v>
      </c>
      <c r="O376" s="4">
        <v>0</v>
      </c>
      <c r="P376" s="6">
        <f t="shared" si="5"/>
        <v>288.63749999999999</v>
      </c>
    </row>
    <row r="377" spans="1:16" ht="27.75" outlineLevel="2" x14ac:dyDescent="0.2">
      <c r="A377" s="2">
        <v>150154</v>
      </c>
      <c r="B377" s="1"/>
      <c r="C377" s="2">
        <v>925457</v>
      </c>
      <c r="D377" s="3" t="s">
        <v>354</v>
      </c>
      <c r="E377" s="5" t="s">
        <v>10</v>
      </c>
      <c r="F377" s="4">
        <v>0.88</v>
      </c>
      <c r="G377" s="4">
        <v>0</v>
      </c>
      <c r="H377" s="4">
        <v>0</v>
      </c>
      <c r="I377" s="4">
        <v>0</v>
      </c>
      <c r="J377" s="4">
        <v>0.88</v>
      </c>
      <c r="K377" s="4">
        <v>33.81</v>
      </c>
      <c r="L377" s="4">
        <v>29.75</v>
      </c>
      <c r="M377" s="4">
        <v>0</v>
      </c>
      <c r="N377" s="4">
        <v>0</v>
      </c>
      <c r="O377" s="4">
        <v>0</v>
      </c>
      <c r="P377" s="6">
        <f t="shared" si="5"/>
        <v>29.752800000000001</v>
      </c>
    </row>
    <row r="378" spans="1:16" ht="45.75" outlineLevel="2" x14ac:dyDescent="0.2">
      <c r="A378" s="2">
        <v>150155</v>
      </c>
      <c r="B378" s="1"/>
      <c r="C378" s="2">
        <v>925458</v>
      </c>
      <c r="D378" s="3" t="s">
        <v>355</v>
      </c>
      <c r="E378" s="5" t="s">
        <v>10</v>
      </c>
      <c r="F378" s="4">
        <v>6</v>
      </c>
      <c r="G378" s="4">
        <v>0</v>
      </c>
      <c r="H378" s="4">
        <v>0</v>
      </c>
      <c r="I378" s="4">
        <v>0</v>
      </c>
      <c r="J378" s="4">
        <v>6</v>
      </c>
      <c r="K378" s="4">
        <v>57.82</v>
      </c>
      <c r="L378" s="4">
        <v>346.92</v>
      </c>
      <c r="M378" s="4">
        <v>0</v>
      </c>
      <c r="N378" s="4">
        <v>0</v>
      </c>
      <c r="O378" s="4">
        <v>0</v>
      </c>
      <c r="P378" s="6">
        <f t="shared" si="5"/>
        <v>346.92</v>
      </c>
    </row>
    <row r="379" spans="1:16" ht="36.75" outlineLevel="2" x14ac:dyDescent="0.2">
      <c r="A379" s="2">
        <v>150156</v>
      </c>
      <c r="B379" s="1"/>
      <c r="C379" s="2">
        <v>925459</v>
      </c>
      <c r="D379" s="3" t="s">
        <v>356</v>
      </c>
      <c r="E379" s="5" t="s">
        <v>10</v>
      </c>
      <c r="F379" s="4">
        <v>16.5</v>
      </c>
      <c r="G379" s="4">
        <v>0</v>
      </c>
      <c r="H379" s="4">
        <v>0</v>
      </c>
      <c r="I379" s="4">
        <v>0</v>
      </c>
      <c r="J379" s="4">
        <v>16.5</v>
      </c>
      <c r="K379" s="4">
        <v>28.12</v>
      </c>
      <c r="L379" s="4">
        <v>463.98</v>
      </c>
      <c r="M379" s="4">
        <v>0</v>
      </c>
      <c r="N379" s="4">
        <v>0</v>
      </c>
      <c r="O379" s="4">
        <v>0</v>
      </c>
      <c r="P379" s="6">
        <f t="shared" si="5"/>
        <v>463.98</v>
      </c>
    </row>
    <row r="380" spans="1:16" ht="18.75" outlineLevel="2" x14ac:dyDescent="0.2">
      <c r="A380" s="2">
        <v>150157</v>
      </c>
      <c r="B380" s="1"/>
      <c r="C380" s="2">
        <v>925460</v>
      </c>
      <c r="D380" s="3" t="s">
        <v>357</v>
      </c>
      <c r="E380" s="5" t="s">
        <v>10</v>
      </c>
      <c r="F380" s="4">
        <v>4.5</v>
      </c>
      <c r="G380" s="4">
        <v>0</v>
      </c>
      <c r="H380" s="4">
        <v>0</v>
      </c>
      <c r="I380" s="4">
        <v>0</v>
      </c>
      <c r="J380" s="4">
        <v>4.5</v>
      </c>
      <c r="K380" s="4">
        <v>2.12</v>
      </c>
      <c r="L380" s="4">
        <v>9.5399999999999991</v>
      </c>
      <c r="M380" s="4">
        <v>0</v>
      </c>
      <c r="N380" s="4">
        <v>0</v>
      </c>
      <c r="O380" s="4">
        <v>0</v>
      </c>
      <c r="P380" s="6">
        <f t="shared" si="5"/>
        <v>9.5400000000000009</v>
      </c>
    </row>
    <row r="381" spans="1:16" ht="18.75" outlineLevel="2" x14ac:dyDescent="0.2">
      <c r="A381" s="2">
        <v>150158</v>
      </c>
      <c r="B381" s="1"/>
      <c r="C381" s="2">
        <v>921974</v>
      </c>
      <c r="D381" s="3" t="s">
        <v>127</v>
      </c>
      <c r="E381" s="5" t="s">
        <v>10</v>
      </c>
      <c r="F381" s="4">
        <v>12</v>
      </c>
      <c r="G381" s="4">
        <v>0</v>
      </c>
      <c r="H381" s="4">
        <v>0</v>
      </c>
      <c r="I381" s="4">
        <v>0</v>
      </c>
      <c r="J381" s="4">
        <v>12</v>
      </c>
      <c r="K381" s="4">
        <v>1.85</v>
      </c>
      <c r="L381" s="4">
        <v>22.2</v>
      </c>
      <c r="M381" s="4">
        <v>0</v>
      </c>
      <c r="N381" s="4">
        <v>0</v>
      </c>
      <c r="O381" s="4">
        <v>0</v>
      </c>
      <c r="P381" s="6">
        <f t="shared" si="5"/>
        <v>22.200000000000003</v>
      </c>
    </row>
    <row r="382" spans="1:16" ht="18.75" outlineLevel="2" x14ac:dyDescent="0.2">
      <c r="A382" s="2">
        <v>150159</v>
      </c>
      <c r="B382" s="1"/>
      <c r="C382" s="2">
        <v>949526</v>
      </c>
      <c r="D382" s="3" t="s">
        <v>358</v>
      </c>
      <c r="E382" s="5" t="s">
        <v>10</v>
      </c>
      <c r="F382" s="4">
        <v>4.5</v>
      </c>
      <c r="G382" s="4">
        <v>0</v>
      </c>
      <c r="H382" s="4">
        <v>0</v>
      </c>
      <c r="I382" s="4">
        <v>0</v>
      </c>
      <c r="J382" s="4">
        <v>4.5</v>
      </c>
      <c r="K382" s="4">
        <v>11.7</v>
      </c>
      <c r="L382" s="4">
        <v>52.65</v>
      </c>
      <c r="M382" s="4">
        <v>0</v>
      </c>
      <c r="N382" s="4">
        <v>0</v>
      </c>
      <c r="O382" s="4">
        <v>0</v>
      </c>
      <c r="P382" s="6">
        <f t="shared" si="5"/>
        <v>52.65</v>
      </c>
    </row>
    <row r="383" spans="1:16" ht="18.75" outlineLevel="2" x14ac:dyDescent="0.2">
      <c r="A383" s="2">
        <v>150160</v>
      </c>
      <c r="B383" s="1"/>
      <c r="C383" s="2">
        <v>949820</v>
      </c>
      <c r="D383" s="3" t="s">
        <v>359</v>
      </c>
      <c r="E383" s="5" t="s">
        <v>10</v>
      </c>
      <c r="F383" s="4">
        <v>12</v>
      </c>
      <c r="G383" s="4">
        <v>0</v>
      </c>
      <c r="H383" s="4">
        <v>0</v>
      </c>
      <c r="I383" s="4">
        <v>0</v>
      </c>
      <c r="J383" s="4">
        <v>12</v>
      </c>
      <c r="K383" s="4">
        <v>10.46</v>
      </c>
      <c r="L383" s="4">
        <v>125.52</v>
      </c>
      <c r="M383" s="4">
        <v>0</v>
      </c>
      <c r="N383" s="4">
        <v>0</v>
      </c>
      <c r="O383" s="4">
        <v>0</v>
      </c>
      <c r="P383" s="6">
        <f t="shared" si="5"/>
        <v>125.52000000000001</v>
      </c>
    </row>
    <row r="384" spans="1:16" ht="27.75" outlineLevel="2" x14ac:dyDescent="0.2">
      <c r="A384" s="2">
        <v>150161</v>
      </c>
      <c r="B384" s="1"/>
      <c r="C384" s="2">
        <v>663846</v>
      </c>
      <c r="D384" s="3" t="s">
        <v>360</v>
      </c>
      <c r="E384" s="5" t="s">
        <v>10</v>
      </c>
      <c r="F384" s="4">
        <v>3.84</v>
      </c>
      <c r="G384" s="4">
        <v>0</v>
      </c>
      <c r="H384" s="4">
        <v>0</v>
      </c>
      <c r="I384" s="4">
        <v>0</v>
      </c>
      <c r="J384" s="4">
        <v>3.84</v>
      </c>
      <c r="K384" s="4">
        <v>858.58</v>
      </c>
      <c r="L384" s="4">
        <v>3296.94</v>
      </c>
      <c r="M384" s="4">
        <v>0</v>
      </c>
      <c r="N384" s="4">
        <v>0</v>
      </c>
      <c r="O384" s="4">
        <v>0</v>
      </c>
      <c r="P384" s="6">
        <f t="shared" si="5"/>
        <v>3296.9472000000001</v>
      </c>
    </row>
    <row r="385" spans="1:16" ht="18.75" outlineLevel="2" x14ac:dyDescent="0.2">
      <c r="A385" s="2">
        <v>150162</v>
      </c>
      <c r="B385" s="1"/>
      <c r="C385" s="2">
        <v>925461</v>
      </c>
      <c r="D385" s="3" t="s">
        <v>361</v>
      </c>
      <c r="E385" s="5" t="s">
        <v>10</v>
      </c>
      <c r="F385" s="4">
        <v>10.26</v>
      </c>
      <c r="G385" s="4">
        <v>0</v>
      </c>
      <c r="H385" s="4">
        <v>0</v>
      </c>
      <c r="I385" s="4">
        <v>0</v>
      </c>
      <c r="J385" s="4">
        <v>10.26</v>
      </c>
      <c r="K385" s="4">
        <v>20.79</v>
      </c>
      <c r="L385" s="4">
        <v>213.3</v>
      </c>
      <c r="M385" s="4">
        <v>0</v>
      </c>
      <c r="N385" s="4">
        <v>0</v>
      </c>
      <c r="O385" s="4">
        <v>0</v>
      </c>
      <c r="P385" s="6">
        <f t="shared" si="5"/>
        <v>213.30539999999999</v>
      </c>
    </row>
    <row r="386" spans="1:16" ht="27.75" outlineLevel="2" x14ac:dyDescent="0.2">
      <c r="A386" s="2">
        <v>150163</v>
      </c>
      <c r="B386" s="1"/>
      <c r="C386" s="2">
        <v>922276</v>
      </c>
      <c r="D386" s="3" t="s">
        <v>362</v>
      </c>
      <c r="E386" s="5" t="s">
        <v>10</v>
      </c>
      <c r="F386" s="4">
        <v>10.26</v>
      </c>
      <c r="G386" s="4">
        <v>0</v>
      </c>
      <c r="H386" s="4">
        <v>0</v>
      </c>
      <c r="I386" s="4">
        <v>0</v>
      </c>
      <c r="J386" s="4">
        <v>10.26</v>
      </c>
      <c r="K386" s="4">
        <v>74.97</v>
      </c>
      <c r="L386" s="4">
        <v>769.19</v>
      </c>
      <c r="M386" s="4">
        <v>0</v>
      </c>
      <c r="N386" s="4">
        <v>0</v>
      </c>
      <c r="O386" s="4">
        <v>0</v>
      </c>
      <c r="P386" s="6">
        <f t="shared" si="5"/>
        <v>769.19219999999996</v>
      </c>
    </row>
    <row r="387" spans="1:16" outlineLevel="2" x14ac:dyDescent="0.2">
      <c r="A387" s="2">
        <v>150164</v>
      </c>
      <c r="B387" s="1"/>
      <c r="C387" s="2">
        <v>210101</v>
      </c>
      <c r="D387" s="3" t="s">
        <v>363</v>
      </c>
      <c r="E387" s="5" t="s">
        <v>10</v>
      </c>
      <c r="F387" s="4">
        <v>8000</v>
      </c>
      <c r="G387" s="4">
        <v>0</v>
      </c>
      <c r="H387" s="4">
        <v>0</v>
      </c>
      <c r="I387" s="4">
        <v>0</v>
      </c>
      <c r="J387" s="4">
        <v>8000</v>
      </c>
      <c r="K387" s="4">
        <v>2.19</v>
      </c>
      <c r="L387" s="4">
        <v>17520</v>
      </c>
      <c r="M387" s="4">
        <v>0</v>
      </c>
      <c r="N387" s="4">
        <v>0</v>
      </c>
      <c r="O387" s="4">
        <v>0</v>
      </c>
      <c r="P387" s="6">
        <f t="shared" si="5"/>
        <v>17520</v>
      </c>
    </row>
    <row r="388" spans="1:16" x14ac:dyDescent="0.2">
      <c r="A388" s="1"/>
      <c r="B388" s="1"/>
      <c r="C388" s="1"/>
      <c r="D388" s="9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6">
        <f t="shared" si="5"/>
        <v>0</v>
      </c>
    </row>
    <row r="389" spans="1:16" x14ac:dyDescent="0.2">
      <c r="A389" s="1"/>
      <c r="B389" s="1"/>
      <c r="C389" s="1"/>
      <c r="D389" s="9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6">
        <f t="shared" si="5"/>
        <v>0</v>
      </c>
    </row>
    <row r="390" spans="1:16" outlineLevel="2" x14ac:dyDescent="0.2">
      <c r="A390" s="2">
        <v>160100</v>
      </c>
      <c r="B390" s="1"/>
      <c r="C390" s="2">
        <v>645240</v>
      </c>
      <c r="D390" s="7" t="s">
        <v>33</v>
      </c>
      <c r="E390" s="1"/>
      <c r="F390" s="4" t="s">
        <v>9</v>
      </c>
      <c r="G390" s="4">
        <v>0</v>
      </c>
      <c r="H390" s="4">
        <v>0</v>
      </c>
      <c r="I390" s="4">
        <v>0</v>
      </c>
      <c r="J390" s="4">
        <v>0</v>
      </c>
      <c r="K390" s="4" t="s">
        <v>9</v>
      </c>
      <c r="L390" s="4" t="s">
        <v>9</v>
      </c>
      <c r="M390" s="4">
        <v>0</v>
      </c>
      <c r="N390" s="4">
        <v>0</v>
      </c>
      <c r="O390" s="4">
        <v>0</v>
      </c>
      <c r="P390" s="6">
        <f t="shared" si="5"/>
        <v>0</v>
      </c>
    </row>
    <row r="391" spans="1:16" ht="18.75" outlineLevel="2" x14ac:dyDescent="0.2">
      <c r="A391" s="2">
        <v>160101</v>
      </c>
      <c r="B391" s="1"/>
      <c r="C391" s="2">
        <v>925462</v>
      </c>
      <c r="D391" s="3" t="s">
        <v>364</v>
      </c>
      <c r="E391" s="5" t="s">
        <v>15</v>
      </c>
      <c r="F391" s="4">
        <v>481.76</v>
      </c>
      <c r="G391" s="4">
        <v>0</v>
      </c>
      <c r="H391" s="4">
        <v>481.76</v>
      </c>
      <c r="I391" s="4">
        <v>481.76</v>
      </c>
      <c r="J391" s="4">
        <v>0</v>
      </c>
      <c r="K391" s="4">
        <v>394.47</v>
      </c>
      <c r="L391" s="4">
        <v>190039.86</v>
      </c>
      <c r="M391" s="4">
        <v>0</v>
      </c>
      <c r="N391" s="4">
        <v>190039.86</v>
      </c>
      <c r="O391" s="4">
        <v>190039.86</v>
      </c>
      <c r="P391" s="6">
        <f t="shared" si="5"/>
        <v>0</v>
      </c>
    </row>
    <row r="392" spans="1:16" ht="27.75" outlineLevel="2" x14ac:dyDescent="0.2">
      <c r="A392" s="2">
        <v>160102</v>
      </c>
      <c r="B392" s="1"/>
      <c r="C392" s="2">
        <v>925463</v>
      </c>
      <c r="D392" s="3" t="s">
        <v>365</v>
      </c>
      <c r="E392" s="5" t="s">
        <v>15</v>
      </c>
      <c r="F392" s="4">
        <v>56.88</v>
      </c>
      <c r="G392" s="4">
        <v>56.03</v>
      </c>
      <c r="H392" s="4">
        <v>56.03</v>
      </c>
      <c r="I392" s="4">
        <v>0</v>
      </c>
      <c r="J392" s="4">
        <v>56.88</v>
      </c>
      <c r="K392" s="4">
        <v>562.36</v>
      </c>
      <c r="L392" s="4">
        <v>31987.03</v>
      </c>
      <c r="M392" s="4">
        <v>31509.040000000001</v>
      </c>
      <c r="N392" s="4">
        <v>31509.03</v>
      </c>
      <c r="O392" s="4">
        <v>0.01</v>
      </c>
      <c r="P392" s="6">
        <f t="shared" si="5"/>
        <v>31987.036800000002</v>
      </c>
    </row>
    <row r="393" spans="1:16" ht="36.75" outlineLevel="2" x14ac:dyDescent="0.2">
      <c r="A393" s="2">
        <v>160103</v>
      </c>
      <c r="B393" s="1"/>
      <c r="C393" s="2">
        <v>925464</v>
      </c>
      <c r="D393" s="3" t="s">
        <v>366</v>
      </c>
      <c r="E393" s="5" t="s">
        <v>10</v>
      </c>
      <c r="F393" s="4">
        <v>10</v>
      </c>
      <c r="G393" s="4">
        <v>0</v>
      </c>
      <c r="H393" s="4">
        <v>0</v>
      </c>
      <c r="I393" s="4">
        <v>0</v>
      </c>
      <c r="J393" s="4">
        <v>10</v>
      </c>
      <c r="K393" s="4">
        <v>376.83</v>
      </c>
      <c r="L393" s="4">
        <v>3768.3</v>
      </c>
      <c r="M393" s="4">
        <v>0</v>
      </c>
      <c r="N393" s="4">
        <v>0</v>
      </c>
      <c r="O393" s="4">
        <v>0</v>
      </c>
      <c r="P393" s="6">
        <f t="shared" si="5"/>
        <v>3768.2999999999997</v>
      </c>
    </row>
    <row r="394" spans="1:16" ht="18.75" outlineLevel="2" x14ac:dyDescent="0.2">
      <c r="A394" s="2">
        <v>160104</v>
      </c>
      <c r="B394" s="1"/>
      <c r="C394" s="2">
        <v>925465</v>
      </c>
      <c r="D394" s="3" t="s">
        <v>367</v>
      </c>
      <c r="E394" s="5" t="s">
        <v>10</v>
      </c>
      <c r="F394" s="4">
        <v>4.5</v>
      </c>
      <c r="G394" s="4">
        <v>0</v>
      </c>
      <c r="H394" s="4">
        <v>0</v>
      </c>
      <c r="I394" s="4">
        <v>0</v>
      </c>
      <c r="J394" s="4">
        <v>4.5</v>
      </c>
      <c r="K394" s="4">
        <v>220.13</v>
      </c>
      <c r="L394" s="4">
        <v>990.58</v>
      </c>
      <c r="M394" s="4">
        <v>0</v>
      </c>
      <c r="N394" s="4">
        <v>0</v>
      </c>
      <c r="O394" s="4">
        <v>0</v>
      </c>
      <c r="P394" s="6">
        <f t="shared" si="5"/>
        <v>990.58500000000004</v>
      </c>
    </row>
    <row r="395" spans="1:16" outlineLevel="2" x14ac:dyDescent="0.2">
      <c r="A395" s="2">
        <v>160105</v>
      </c>
      <c r="B395" s="1"/>
      <c r="C395" s="2">
        <v>925466</v>
      </c>
      <c r="D395" s="3" t="s">
        <v>368</v>
      </c>
      <c r="E395" s="5" t="s">
        <v>10</v>
      </c>
      <c r="F395" s="4">
        <v>2238.9</v>
      </c>
      <c r="G395" s="4">
        <v>0</v>
      </c>
      <c r="H395" s="4">
        <v>0</v>
      </c>
      <c r="I395" s="4">
        <v>0</v>
      </c>
      <c r="J395" s="4">
        <v>2238.9</v>
      </c>
      <c r="K395" s="4">
        <v>11.82</v>
      </c>
      <c r="L395" s="4">
        <v>26463.79</v>
      </c>
      <c r="M395" s="4">
        <v>0</v>
      </c>
      <c r="N395" s="4">
        <v>0</v>
      </c>
      <c r="O395" s="4">
        <v>0</v>
      </c>
      <c r="P395" s="6">
        <f t="shared" si="5"/>
        <v>26463.798000000003</v>
      </c>
    </row>
    <row r="396" spans="1:16" ht="18.75" outlineLevel="2" x14ac:dyDescent="0.2">
      <c r="A396" s="2">
        <v>160106</v>
      </c>
      <c r="B396" s="1"/>
      <c r="C396" s="2">
        <v>296692</v>
      </c>
      <c r="D396" s="3" t="s">
        <v>344</v>
      </c>
      <c r="E396" s="5" t="s">
        <v>24</v>
      </c>
      <c r="F396" s="4">
        <v>42.28</v>
      </c>
      <c r="G396" s="4">
        <v>0</v>
      </c>
      <c r="H396" s="4">
        <v>42.28</v>
      </c>
      <c r="I396" s="4">
        <v>42.28</v>
      </c>
      <c r="J396" s="4">
        <v>0</v>
      </c>
      <c r="K396" s="4">
        <v>4.04</v>
      </c>
      <c r="L396" s="4">
        <v>170.81</v>
      </c>
      <c r="M396" s="4">
        <v>0</v>
      </c>
      <c r="N396" s="4">
        <v>170.81</v>
      </c>
      <c r="O396" s="4">
        <v>170.81</v>
      </c>
      <c r="P396" s="6">
        <f t="shared" si="5"/>
        <v>0</v>
      </c>
    </row>
    <row r="397" spans="1:16" ht="18.75" outlineLevel="2" x14ac:dyDescent="0.2">
      <c r="A397" s="2">
        <v>160107</v>
      </c>
      <c r="B397" s="1"/>
      <c r="C397" s="2">
        <v>925467</v>
      </c>
      <c r="D397" s="3" t="s">
        <v>369</v>
      </c>
      <c r="E397" s="5" t="s">
        <v>11</v>
      </c>
      <c r="F397" s="4">
        <v>42.28</v>
      </c>
      <c r="G397" s="4">
        <v>0</v>
      </c>
      <c r="H397" s="4">
        <v>21.14</v>
      </c>
      <c r="I397" s="4">
        <v>21.14</v>
      </c>
      <c r="J397" s="4">
        <v>21.14</v>
      </c>
      <c r="K397" s="4">
        <v>79.260000000000005</v>
      </c>
      <c r="L397" s="4">
        <v>3351.11</v>
      </c>
      <c r="M397" s="4">
        <v>0</v>
      </c>
      <c r="N397" s="4">
        <v>1675.55</v>
      </c>
      <c r="O397" s="4">
        <v>1675.55</v>
      </c>
      <c r="P397" s="6">
        <f t="shared" si="5"/>
        <v>1675.5564000000002</v>
      </c>
    </row>
    <row r="398" spans="1:16" ht="36.75" outlineLevel="2" x14ac:dyDescent="0.2">
      <c r="A398" s="2">
        <v>160108</v>
      </c>
      <c r="B398" s="1"/>
      <c r="C398" s="2">
        <v>925468</v>
      </c>
      <c r="D398" s="3" t="s">
        <v>370</v>
      </c>
      <c r="E398" s="5" t="s">
        <v>11</v>
      </c>
      <c r="F398" s="4">
        <v>56.03</v>
      </c>
      <c r="G398" s="4">
        <v>0</v>
      </c>
      <c r="H398" s="4">
        <v>41.11</v>
      </c>
      <c r="I398" s="4">
        <v>41.11</v>
      </c>
      <c r="J398" s="4">
        <v>14.92</v>
      </c>
      <c r="K398" s="4">
        <v>406.07</v>
      </c>
      <c r="L398" s="4">
        <v>22752.1</v>
      </c>
      <c r="M398" s="4">
        <v>0</v>
      </c>
      <c r="N398" s="4">
        <v>16693.53</v>
      </c>
      <c r="O398" s="4">
        <v>16693.53</v>
      </c>
      <c r="P398" s="6">
        <f t="shared" si="5"/>
        <v>6058.5644000000002</v>
      </c>
    </row>
    <row r="399" spans="1:16" ht="27.75" outlineLevel="2" x14ac:dyDescent="0.2">
      <c r="A399" s="2">
        <v>160109</v>
      </c>
      <c r="B399" s="1"/>
      <c r="C399" s="2">
        <v>925469</v>
      </c>
      <c r="D399" s="3" t="s">
        <v>371</v>
      </c>
      <c r="E399" s="5" t="s">
        <v>15</v>
      </c>
      <c r="F399" s="4" t="s">
        <v>9</v>
      </c>
      <c r="G399" s="4">
        <v>0</v>
      </c>
      <c r="H399" s="4">
        <v>0</v>
      </c>
      <c r="I399" s="4">
        <v>0</v>
      </c>
      <c r="J399" s="4">
        <v>0</v>
      </c>
      <c r="K399" s="4">
        <v>37.700000000000003</v>
      </c>
      <c r="L399" s="4" t="s">
        <v>9</v>
      </c>
      <c r="M399" s="4">
        <v>0</v>
      </c>
      <c r="N399" s="4">
        <v>0</v>
      </c>
      <c r="O399" s="4">
        <v>0</v>
      </c>
      <c r="P399" s="6">
        <f t="shared" si="5"/>
        <v>0</v>
      </c>
    </row>
    <row r="400" spans="1:16" ht="27.75" outlineLevel="2" x14ac:dyDescent="0.2">
      <c r="A400" s="2">
        <v>160110</v>
      </c>
      <c r="B400" s="1"/>
      <c r="C400" s="2">
        <v>925470</v>
      </c>
      <c r="D400" s="3" t="s">
        <v>372</v>
      </c>
      <c r="E400" s="5" t="s">
        <v>20</v>
      </c>
      <c r="F400" s="4">
        <v>134</v>
      </c>
      <c r="G400" s="4">
        <v>0</v>
      </c>
      <c r="H400" s="4">
        <v>25</v>
      </c>
      <c r="I400" s="4">
        <v>25</v>
      </c>
      <c r="J400" s="4">
        <v>109</v>
      </c>
      <c r="K400" s="4">
        <v>15.05</v>
      </c>
      <c r="L400" s="4">
        <v>2016.7</v>
      </c>
      <c r="M400" s="4">
        <v>0</v>
      </c>
      <c r="N400" s="4">
        <v>376.25</v>
      </c>
      <c r="O400" s="4">
        <v>376.25</v>
      </c>
      <c r="P400" s="6">
        <f t="shared" si="5"/>
        <v>1640.45</v>
      </c>
    </row>
    <row r="401" spans="1:16" ht="18.75" outlineLevel="2" x14ac:dyDescent="0.2">
      <c r="A401" s="2">
        <v>160111</v>
      </c>
      <c r="B401" s="1"/>
      <c r="C401" s="2">
        <v>925471</v>
      </c>
      <c r="D401" s="3" t="s">
        <v>373</v>
      </c>
      <c r="E401" s="5" t="s">
        <v>20</v>
      </c>
      <c r="F401" s="4">
        <v>8</v>
      </c>
      <c r="G401" s="4">
        <v>0</v>
      </c>
      <c r="H401" s="4">
        <v>8</v>
      </c>
      <c r="I401" s="4">
        <v>8</v>
      </c>
      <c r="J401" s="4">
        <v>0</v>
      </c>
      <c r="K401" s="4">
        <v>1320.82</v>
      </c>
      <c r="L401" s="4">
        <v>10566.56</v>
      </c>
      <c r="M401" s="4">
        <v>0</v>
      </c>
      <c r="N401" s="4">
        <v>10566.56</v>
      </c>
      <c r="O401" s="4">
        <v>10566.56</v>
      </c>
      <c r="P401" s="6">
        <f t="shared" si="5"/>
        <v>0</v>
      </c>
    </row>
    <row r="402" spans="1:16" ht="18.75" outlineLevel="2" x14ac:dyDescent="0.2">
      <c r="A402" s="2">
        <v>160112</v>
      </c>
      <c r="B402" s="1"/>
      <c r="C402" s="2">
        <v>924607</v>
      </c>
      <c r="D402" s="3" t="s">
        <v>120</v>
      </c>
      <c r="E402" s="5" t="s">
        <v>10</v>
      </c>
      <c r="F402" s="4">
        <v>9.6</v>
      </c>
      <c r="G402" s="4">
        <v>0</v>
      </c>
      <c r="H402" s="4">
        <v>0</v>
      </c>
      <c r="I402" s="4">
        <v>0</v>
      </c>
      <c r="J402" s="4">
        <v>9.6</v>
      </c>
      <c r="K402" s="4">
        <v>19.39</v>
      </c>
      <c r="L402" s="4">
        <v>186.14</v>
      </c>
      <c r="M402" s="4">
        <v>0</v>
      </c>
      <c r="N402" s="4">
        <v>0</v>
      </c>
      <c r="O402" s="4">
        <v>0</v>
      </c>
      <c r="P402" s="6">
        <f t="shared" si="5"/>
        <v>186.14400000000001</v>
      </c>
    </row>
    <row r="403" spans="1:16" x14ac:dyDescent="0.2">
      <c r="A403" s="1"/>
      <c r="B403" s="1"/>
      <c r="C403" s="1"/>
      <c r="D403" s="9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6">
        <f t="shared" si="5"/>
        <v>0</v>
      </c>
    </row>
    <row r="404" spans="1:16" x14ac:dyDescent="0.2">
      <c r="A404" s="1"/>
      <c r="B404" s="1"/>
      <c r="C404" s="1"/>
      <c r="D404" s="9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6">
        <f t="shared" si="5"/>
        <v>0</v>
      </c>
    </row>
    <row r="405" spans="1:16" outlineLevel="2" x14ac:dyDescent="0.2">
      <c r="A405" s="2">
        <v>170100</v>
      </c>
      <c r="B405" s="1"/>
      <c r="C405" s="2">
        <v>950664</v>
      </c>
      <c r="D405" s="7" t="s">
        <v>34</v>
      </c>
      <c r="E405" s="1"/>
      <c r="F405" s="4" t="s">
        <v>9</v>
      </c>
      <c r="G405" s="4">
        <v>0</v>
      </c>
      <c r="H405" s="4">
        <v>0</v>
      </c>
      <c r="I405" s="4">
        <v>0</v>
      </c>
      <c r="J405" s="4">
        <v>0</v>
      </c>
      <c r="K405" s="4" t="s">
        <v>9</v>
      </c>
      <c r="L405" s="4" t="s">
        <v>9</v>
      </c>
      <c r="M405" s="4">
        <v>0</v>
      </c>
      <c r="N405" s="4">
        <v>0</v>
      </c>
      <c r="O405" s="4">
        <v>0</v>
      </c>
      <c r="P405" s="6">
        <f t="shared" si="5"/>
        <v>0</v>
      </c>
    </row>
    <row r="406" spans="1:16" ht="18.75" outlineLevel="2" x14ac:dyDescent="0.2">
      <c r="A406" s="2">
        <v>170101</v>
      </c>
      <c r="B406" s="1"/>
      <c r="C406" s="2">
        <v>490093</v>
      </c>
      <c r="D406" s="3" t="s">
        <v>374</v>
      </c>
      <c r="E406" s="5" t="s">
        <v>35</v>
      </c>
      <c r="F406" s="4">
        <v>387</v>
      </c>
      <c r="G406" s="4">
        <v>11.61</v>
      </c>
      <c r="H406" s="4">
        <v>185.06</v>
      </c>
      <c r="I406" s="4">
        <v>196.67</v>
      </c>
      <c r="J406" s="4">
        <v>190.33</v>
      </c>
      <c r="K406" s="4">
        <v>75.77</v>
      </c>
      <c r="L406" s="4">
        <v>29322.99</v>
      </c>
      <c r="M406" s="4">
        <v>879.68</v>
      </c>
      <c r="N406" s="4">
        <v>14021.91</v>
      </c>
      <c r="O406" s="4">
        <v>14901.59</v>
      </c>
      <c r="P406" s="6">
        <f t="shared" si="5"/>
        <v>14421.304099999999</v>
      </c>
    </row>
    <row r="407" spans="1:16" ht="18.75" outlineLevel="2" x14ac:dyDescent="0.2">
      <c r="A407" s="2">
        <v>170102</v>
      </c>
      <c r="B407" s="1"/>
      <c r="C407" s="2">
        <v>960012</v>
      </c>
      <c r="D407" s="3" t="s">
        <v>375</v>
      </c>
      <c r="E407" s="5" t="s">
        <v>35</v>
      </c>
      <c r="F407" s="4">
        <v>1698.84</v>
      </c>
      <c r="G407" s="4">
        <v>51</v>
      </c>
      <c r="H407" s="4">
        <v>813.07</v>
      </c>
      <c r="I407" s="4">
        <v>864.07</v>
      </c>
      <c r="J407" s="4">
        <v>834.77</v>
      </c>
      <c r="K407" s="4">
        <v>23.72</v>
      </c>
      <c r="L407" s="4">
        <v>40296.480000000003</v>
      </c>
      <c r="M407" s="4">
        <v>1209.72</v>
      </c>
      <c r="N407" s="4">
        <v>19285.95</v>
      </c>
      <c r="O407" s="4">
        <v>20495.669999999998</v>
      </c>
      <c r="P407" s="6">
        <f t="shared" ref="P407:P469" si="6">PRODUCT(J407,K407)</f>
        <v>19800.7444</v>
      </c>
    </row>
    <row r="408" spans="1:16" ht="18.75" outlineLevel="2" x14ac:dyDescent="0.2">
      <c r="A408" s="2">
        <v>170103</v>
      </c>
      <c r="B408" s="1"/>
      <c r="C408" s="2">
        <v>960013</v>
      </c>
      <c r="D408" s="3" t="s">
        <v>376</v>
      </c>
      <c r="E408" s="5" t="s">
        <v>35</v>
      </c>
      <c r="F408" s="4">
        <v>1698.84</v>
      </c>
      <c r="G408" s="4">
        <v>51</v>
      </c>
      <c r="H408" s="4">
        <v>813.07</v>
      </c>
      <c r="I408" s="4">
        <v>864.07</v>
      </c>
      <c r="J408" s="4">
        <v>834.77</v>
      </c>
      <c r="K408" s="4">
        <v>15.58</v>
      </c>
      <c r="L408" s="4">
        <v>26467.919999999998</v>
      </c>
      <c r="M408" s="4">
        <v>794.58</v>
      </c>
      <c r="N408" s="4">
        <v>12667.56</v>
      </c>
      <c r="O408" s="4">
        <v>13462.14</v>
      </c>
      <c r="P408" s="6">
        <f t="shared" si="6"/>
        <v>13005.7166</v>
      </c>
    </row>
    <row r="409" spans="1:16" ht="18.75" outlineLevel="2" x14ac:dyDescent="0.2">
      <c r="A409" s="2">
        <v>170104</v>
      </c>
      <c r="B409" s="1"/>
      <c r="C409" s="2">
        <v>950557</v>
      </c>
      <c r="D409" s="3" t="s">
        <v>377</v>
      </c>
      <c r="E409" s="5" t="s">
        <v>35</v>
      </c>
      <c r="F409" s="4">
        <v>3397.68</v>
      </c>
      <c r="G409" s="4">
        <v>102</v>
      </c>
      <c r="H409" s="4">
        <v>1626.17</v>
      </c>
      <c r="I409" s="4">
        <v>1728.17</v>
      </c>
      <c r="J409" s="4">
        <v>1669.51</v>
      </c>
      <c r="K409" s="4">
        <v>15.1</v>
      </c>
      <c r="L409" s="4">
        <v>51304.959999999999</v>
      </c>
      <c r="M409" s="4">
        <v>1540.2</v>
      </c>
      <c r="N409" s="4">
        <v>24555.119999999999</v>
      </c>
      <c r="O409" s="4">
        <v>26095.32</v>
      </c>
      <c r="P409" s="6">
        <f t="shared" si="6"/>
        <v>25209.600999999999</v>
      </c>
    </row>
    <row r="410" spans="1:16" x14ac:dyDescent="0.2">
      <c r="A410" s="1"/>
      <c r="B410" s="1"/>
      <c r="C410" s="1"/>
      <c r="D410" s="9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6">
        <f t="shared" si="6"/>
        <v>0</v>
      </c>
    </row>
    <row r="411" spans="1:16" x14ac:dyDescent="0.2">
      <c r="A411" s="1"/>
      <c r="B411" s="1"/>
      <c r="C411" s="1"/>
      <c r="D411" s="9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6">
        <f t="shared" si="6"/>
        <v>0</v>
      </c>
    </row>
    <row r="412" spans="1:16" outlineLevel="2" x14ac:dyDescent="0.2">
      <c r="A412" s="2">
        <v>180100</v>
      </c>
      <c r="B412" s="1"/>
      <c r="C412" s="2">
        <v>648611</v>
      </c>
      <c r="D412" s="7" t="s">
        <v>36</v>
      </c>
      <c r="E412" s="1"/>
      <c r="F412" s="4" t="s">
        <v>9</v>
      </c>
      <c r="G412" s="4">
        <v>0</v>
      </c>
      <c r="H412" s="4">
        <v>0</v>
      </c>
      <c r="I412" s="4">
        <v>0</v>
      </c>
      <c r="J412" s="4">
        <v>0</v>
      </c>
      <c r="K412" s="4" t="s">
        <v>9</v>
      </c>
      <c r="L412" s="4" t="s">
        <v>9</v>
      </c>
      <c r="M412" s="4">
        <v>0</v>
      </c>
      <c r="N412" s="4">
        <v>0</v>
      </c>
      <c r="O412" s="4">
        <v>0</v>
      </c>
      <c r="P412" s="6">
        <f t="shared" si="6"/>
        <v>0</v>
      </c>
    </row>
    <row r="413" spans="1:16" outlineLevel="2" x14ac:dyDescent="0.2">
      <c r="A413" s="2">
        <v>180101</v>
      </c>
      <c r="B413" s="1"/>
      <c r="C413" s="2">
        <v>925472</v>
      </c>
      <c r="D413" s="3" t="s">
        <v>37</v>
      </c>
      <c r="E413" s="1"/>
      <c r="F413" s="4" t="s">
        <v>9</v>
      </c>
      <c r="G413" s="4">
        <v>0</v>
      </c>
      <c r="H413" s="4">
        <v>0</v>
      </c>
      <c r="I413" s="4">
        <v>0</v>
      </c>
      <c r="J413" s="4">
        <v>0</v>
      </c>
      <c r="K413" s="4" t="s">
        <v>9</v>
      </c>
      <c r="L413" s="4" t="s">
        <v>9</v>
      </c>
      <c r="M413" s="4">
        <v>0</v>
      </c>
      <c r="N413" s="4">
        <v>0</v>
      </c>
      <c r="O413" s="4">
        <v>0</v>
      </c>
      <c r="P413" s="6">
        <f t="shared" si="6"/>
        <v>0</v>
      </c>
    </row>
    <row r="414" spans="1:16" ht="27.75" outlineLevel="2" x14ac:dyDescent="0.2">
      <c r="A414" s="2">
        <v>180102</v>
      </c>
      <c r="B414" s="1"/>
      <c r="C414" s="2">
        <v>920137</v>
      </c>
      <c r="D414" s="3" t="s">
        <v>51</v>
      </c>
      <c r="E414" s="5" t="s">
        <v>10</v>
      </c>
      <c r="F414" s="4">
        <v>986.1</v>
      </c>
      <c r="G414" s="4">
        <v>0</v>
      </c>
      <c r="H414" s="4">
        <v>986.1</v>
      </c>
      <c r="I414" s="4">
        <v>986.1</v>
      </c>
      <c r="J414" s="4">
        <v>0</v>
      </c>
      <c r="K414" s="4">
        <v>0.55000000000000004</v>
      </c>
      <c r="L414" s="4">
        <v>542.35</v>
      </c>
      <c r="M414" s="4">
        <v>0</v>
      </c>
      <c r="N414" s="4">
        <v>542.35</v>
      </c>
      <c r="O414" s="4">
        <v>542.35</v>
      </c>
      <c r="P414" s="6">
        <f t="shared" si="6"/>
        <v>0</v>
      </c>
    </row>
    <row r="415" spans="1:16" ht="18.75" outlineLevel="2" x14ac:dyDescent="0.2">
      <c r="A415" s="2">
        <v>180103</v>
      </c>
      <c r="B415" s="1"/>
      <c r="C415" s="2">
        <v>949478</v>
      </c>
      <c r="D415" s="3" t="s">
        <v>56</v>
      </c>
      <c r="E415" s="5" t="s">
        <v>11</v>
      </c>
      <c r="F415" s="4">
        <v>177.23</v>
      </c>
      <c r="G415" s="4">
        <v>0</v>
      </c>
      <c r="H415" s="4">
        <v>177.23</v>
      </c>
      <c r="I415" s="4">
        <v>177.23</v>
      </c>
      <c r="J415" s="4">
        <v>0</v>
      </c>
      <c r="K415" s="4">
        <v>18.54</v>
      </c>
      <c r="L415" s="4">
        <v>3285.84</v>
      </c>
      <c r="M415" s="4">
        <v>0</v>
      </c>
      <c r="N415" s="4">
        <v>3285.84</v>
      </c>
      <c r="O415" s="4">
        <v>3285.84</v>
      </c>
      <c r="P415" s="6">
        <f t="shared" si="6"/>
        <v>0</v>
      </c>
    </row>
    <row r="416" spans="1:16" ht="18.75" outlineLevel="2" x14ac:dyDescent="0.2">
      <c r="A416" s="2">
        <v>180104</v>
      </c>
      <c r="B416" s="1"/>
      <c r="C416" s="2">
        <v>949479</v>
      </c>
      <c r="D416" s="3" t="s">
        <v>57</v>
      </c>
      <c r="E416" s="5" t="s">
        <v>12</v>
      </c>
      <c r="F416" s="4">
        <v>3544.6</v>
      </c>
      <c r="G416" s="4">
        <v>0</v>
      </c>
      <c r="H416" s="4">
        <v>3544.6</v>
      </c>
      <c r="I416" s="4">
        <v>3544.6</v>
      </c>
      <c r="J416" s="4">
        <v>0</v>
      </c>
      <c r="K416" s="4">
        <v>1.2</v>
      </c>
      <c r="L416" s="4">
        <v>4253.5200000000004</v>
      </c>
      <c r="M416" s="4">
        <v>0</v>
      </c>
      <c r="N416" s="4">
        <v>4253.5200000000004</v>
      </c>
      <c r="O416" s="4">
        <v>4253.5200000000004</v>
      </c>
      <c r="P416" s="6">
        <f t="shared" si="6"/>
        <v>0</v>
      </c>
    </row>
    <row r="417" spans="1:16" outlineLevel="2" x14ac:dyDescent="0.2">
      <c r="A417" s="2">
        <v>180105</v>
      </c>
      <c r="B417" s="1"/>
      <c r="C417" s="2">
        <v>921119</v>
      </c>
      <c r="D417" s="3" t="s">
        <v>63</v>
      </c>
      <c r="E417" s="5" t="s">
        <v>11</v>
      </c>
      <c r="F417" s="4">
        <v>43.27</v>
      </c>
      <c r="G417" s="4">
        <v>0</v>
      </c>
      <c r="H417" s="4">
        <v>32.06</v>
      </c>
      <c r="I417" s="4">
        <v>32.06</v>
      </c>
      <c r="J417" s="4">
        <v>11.21</v>
      </c>
      <c r="K417" s="4">
        <v>54.83</v>
      </c>
      <c r="L417" s="4">
        <v>2372.4899999999998</v>
      </c>
      <c r="M417" s="4">
        <v>0</v>
      </c>
      <c r="N417" s="4">
        <v>1757.84</v>
      </c>
      <c r="O417" s="4">
        <v>1757.84</v>
      </c>
      <c r="P417" s="6">
        <f t="shared" si="6"/>
        <v>614.64430000000004</v>
      </c>
    </row>
    <row r="418" spans="1:16" ht="27.75" outlineLevel="2" x14ac:dyDescent="0.2">
      <c r="A418" s="2">
        <v>180106</v>
      </c>
      <c r="B418" s="1"/>
      <c r="C418" s="2">
        <v>925473</v>
      </c>
      <c r="D418" s="3" t="s">
        <v>378</v>
      </c>
      <c r="E418" s="5" t="s">
        <v>11</v>
      </c>
      <c r="F418" s="4">
        <v>8.6300000000000008</v>
      </c>
      <c r="G418" s="4">
        <v>0</v>
      </c>
      <c r="H418" s="4">
        <v>8.6300000000000008</v>
      </c>
      <c r="I418" s="4">
        <v>8.6300000000000008</v>
      </c>
      <c r="J418" s="4">
        <v>0</v>
      </c>
      <c r="K418" s="4">
        <v>43.57</v>
      </c>
      <c r="L418" s="4">
        <v>376</v>
      </c>
      <c r="M418" s="4">
        <v>0</v>
      </c>
      <c r="N418" s="4">
        <v>376</v>
      </c>
      <c r="O418" s="4">
        <v>376</v>
      </c>
      <c r="P418" s="6">
        <f t="shared" si="6"/>
        <v>0</v>
      </c>
    </row>
    <row r="419" spans="1:16" ht="36.75" outlineLevel="2" x14ac:dyDescent="0.2">
      <c r="A419" s="2">
        <v>180107</v>
      </c>
      <c r="B419" s="1"/>
      <c r="C419" s="2">
        <v>923560</v>
      </c>
      <c r="D419" s="3" t="s">
        <v>379</v>
      </c>
      <c r="E419" s="5" t="s">
        <v>11</v>
      </c>
      <c r="F419" s="4">
        <v>0.32</v>
      </c>
      <c r="G419" s="4">
        <v>0</v>
      </c>
      <c r="H419" s="4">
        <v>0.32</v>
      </c>
      <c r="I419" s="4">
        <v>0.32</v>
      </c>
      <c r="J419" s="4">
        <v>0</v>
      </c>
      <c r="K419" s="4">
        <v>181.88</v>
      </c>
      <c r="L419" s="4">
        <v>58.2</v>
      </c>
      <c r="M419" s="4">
        <v>0</v>
      </c>
      <c r="N419" s="4">
        <v>58.2</v>
      </c>
      <c r="O419" s="4">
        <v>58.2</v>
      </c>
      <c r="P419" s="6">
        <f t="shared" si="6"/>
        <v>0</v>
      </c>
    </row>
    <row r="420" spans="1:16" ht="27.75" outlineLevel="2" x14ac:dyDescent="0.2">
      <c r="A420" s="2">
        <v>180108</v>
      </c>
      <c r="B420" s="1"/>
      <c r="C420" s="2">
        <v>925474</v>
      </c>
      <c r="D420" s="3" t="s">
        <v>38</v>
      </c>
      <c r="E420" s="5" t="s">
        <v>10</v>
      </c>
      <c r="F420" s="4">
        <v>2.15</v>
      </c>
      <c r="G420" s="4">
        <v>0</v>
      </c>
      <c r="H420" s="4">
        <v>2.15</v>
      </c>
      <c r="I420" s="4">
        <v>2.15</v>
      </c>
      <c r="J420" s="4">
        <v>0</v>
      </c>
      <c r="K420" s="4">
        <v>10.39</v>
      </c>
      <c r="L420" s="4">
        <v>22.33</v>
      </c>
      <c r="M420" s="4">
        <v>0</v>
      </c>
      <c r="N420" s="4">
        <v>22.33</v>
      </c>
      <c r="O420" s="4">
        <v>22.33</v>
      </c>
      <c r="P420" s="6">
        <f t="shared" si="6"/>
        <v>0</v>
      </c>
    </row>
    <row r="421" spans="1:16" ht="27.75" outlineLevel="2" x14ac:dyDescent="0.2">
      <c r="A421" s="2">
        <v>180109</v>
      </c>
      <c r="B421" s="1"/>
      <c r="C421" s="2">
        <v>925475</v>
      </c>
      <c r="D421" s="3" t="s">
        <v>380</v>
      </c>
      <c r="E421" s="5" t="s">
        <v>10</v>
      </c>
      <c r="F421" s="4">
        <v>109.82</v>
      </c>
      <c r="G421" s="4">
        <v>0</v>
      </c>
      <c r="H421" s="4">
        <v>33</v>
      </c>
      <c r="I421" s="4">
        <v>33</v>
      </c>
      <c r="J421" s="4">
        <v>76.819999999999993</v>
      </c>
      <c r="K421" s="4">
        <v>30.57</v>
      </c>
      <c r="L421" s="4">
        <v>3357.19</v>
      </c>
      <c r="M421" s="4">
        <v>0</v>
      </c>
      <c r="N421" s="4">
        <v>1008.81</v>
      </c>
      <c r="O421" s="4">
        <v>1008.81</v>
      </c>
      <c r="P421" s="6">
        <f t="shared" si="6"/>
        <v>2348.3873999999996</v>
      </c>
    </row>
    <row r="422" spans="1:16" ht="27.75" outlineLevel="2" x14ac:dyDescent="0.2">
      <c r="A422" s="2">
        <v>180110</v>
      </c>
      <c r="B422" s="1"/>
      <c r="C422" s="2">
        <v>925476</v>
      </c>
      <c r="D422" s="3" t="s">
        <v>381</v>
      </c>
      <c r="E422" s="5" t="s">
        <v>16</v>
      </c>
      <c r="F422" s="4">
        <v>440</v>
      </c>
      <c r="G422" s="4">
        <v>0</v>
      </c>
      <c r="H422" s="4">
        <v>440</v>
      </c>
      <c r="I422" s="4">
        <v>440</v>
      </c>
      <c r="J422" s="4">
        <v>0</v>
      </c>
      <c r="K422" s="4">
        <v>6.86</v>
      </c>
      <c r="L422" s="4">
        <v>3018.4</v>
      </c>
      <c r="M422" s="4">
        <v>0</v>
      </c>
      <c r="N422" s="4">
        <v>3018.4</v>
      </c>
      <c r="O422" s="4">
        <v>3018.4</v>
      </c>
      <c r="P422" s="6">
        <f t="shared" si="6"/>
        <v>0</v>
      </c>
    </row>
    <row r="423" spans="1:16" ht="27.75" outlineLevel="2" x14ac:dyDescent="0.2">
      <c r="A423" s="2">
        <v>180111</v>
      </c>
      <c r="B423" s="1"/>
      <c r="C423" s="2">
        <v>923323</v>
      </c>
      <c r="D423" s="3" t="s">
        <v>382</v>
      </c>
      <c r="E423" s="5" t="s">
        <v>11</v>
      </c>
      <c r="F423" s="4">
        <v>14.43</v>
      </c>
      <c r="G423" s="4">
        <v>0</v>
      </c>
      <c r="H423" s="4">
        <v>5.5</v>
      </c>
      <c r="I423" s="4">
        <v>5.5</v>
      </c>
      <c r="J423" s="4">
        <v>8.93</v>
      </c>
      <c r="K423" s="4">
        <v>315.89999999999998</v>
      </c>
      <c r="L423" s="4">
        <v>4558.43</v>
      </c>
      <c r="M423" s="4">
        <v>0</v>
      </c>
      <c r="N423" s="4">
        <v>1737.45</v>
      </c>
      <c r="O423" s="4">
        <v>1737.45</v>
      </c>
      <c r="P423" s="6">
        <f t="shared" si="6"/>
        <v>2820.9869999999996</v>
      </c>
    </row>
    <row r="424" spans="1:16" ht="18.75" outlineLevel="2" x14ac:dyDescent="0.2">
      <c r="A424" s="2">
        <v>180112</v>
      </c>
      <c r="B424" s="1"/>
      <c r="C424" s="2">
        <v>925477</v>
      </c>
      <c r="D424" s="3" t="s">
        <v>383</v>
      </c>
      <c r="E424" s="5" t="s">
        <v>16</v>
      </c>
      <c r="F424" s="4">
        <v>110</v>
      </c>
      <c r="G424" s="4">
        <v>0</v>
      </c>
      <c r="H424" s="4">
        <v>110</v>
      </c>
      <c r="I424" s="4">
        <v>110</v>
      </c>
      <c r="J424" s="4">
        <v>0</v>
      </c>
      <c r="K424" s="4">
        <v>7.52</v>
      </c>
      <c r="L424" s="4">
        <v>827.2</v>
      </c>
      <c r="M424" s="4">
        <v>0</v>
      </c>
      <c r="N424" s="4">
        <v>827.2</v>
      </c>
      <c r="O424" s="4">
        <v>827.2</v>
      </c>
      <c r="P424" s="6">
        <f t="shared" si="6"/>
        <v>0</v>
      </c>
    </row>
    <row r="425" spans="1:16" ht="18.75" outlineLevel="2" x14ac:dyDescent="0.2">
      <c r="A425" s="2">
        <v>180113</v>
      </c>
      <c r="B425" s="1"/>
      <c r="C425" s="2">
        <v>948721</v>
      </c>
      <c r="D425" s="3" t="s">
        <v>70</v>
      </c>
      <c r="E425" s="5" t="s">
        <v>11</v>
      </c>
      <c r="F425" s="4">
        <v>5.5</v>
      </c>
      <c r="G425" s="4">
        <v>0</v>
      </c>
      <c r="H425" s="4">
        <v>5.5</v>
      </c>
      <c r="I425" s="4">
        <v>5.5</v>
      </c>
      <c r="J425" s="4">
        <v>0</v>
      </c>
      <c r="K425" s="4">
        <v>90.89</v>
      </c>
      <c r="L425" s="4">
        <v>499.89</v>
      </c>
      <c r="M425" s="4">
        <v>0</v>
      </c>
      <c r="N425" s="4">
        <v>499.89</v>
      </c>
      <c r="O425" s="4">
        <v>499.89</v>
      </c>
      <c r="P425" s="6">
        <f t="shared" si="6"/>
        <v>0</v>
      </c>
    </row>
    <row r="426" spans="1:16" ht="18.75" outlineLevel="2" x14ac:dyDescent="0.2">
      <c r="A426" s="2">
        <v>180114</v>
      </c>
      <c r="B426" s="1"/>
      <c r="C426" s="2">
        <v>920385</v>
      </c>
      <c r="D426" s="3" t="s">
        <v>384</v>
      </c>
      <c r="E426" s="5" t="s">
        <v>16</v>
      </c>
      <c r="F426" s="4">
        <v>1389.9</v>
      </c>
      <c r="G426" s="4">
        <v>0</v>
      </c>
      <c r="H426" s="4">
        <v>1389.9</v>
      </c>
      <c r="I426" s="4">
        <v>1389.9</v>
      </c>
      <c r="J426" s="4">
        <v>0</v>
      </c>
      <c r="K426" s="4">
        <v>7.51</v>
      </c>
      <c r="L426" s="4">
        <v>10438.14</v>
      </c>
      <c r="M426" s="4">
        <v>0</v>
      </c>
      <c r="N426" s="4">
        <v>10438.14</v>
      </c>
      <c r="O426" s="4">
        <v>10438.14</v>
      </c>
      <c r="P426" s="6">
        <f t="shared" si="6"/>
        <v>0</v>
      </c>
    </row>
    <row r="427" spans="1:16" ht="27.75" outlineLevel="2" x14ac:dyDescent="0.2">
      <c r="A427" s="2">
        <v>180115</v>
      </c>
      <c r="B427" s="1"/>
      <c r="C427" s="2">
        <v>925478</v>
      </c>
      <c r="D427" s="3" t="s">
        <v>385</v>
      </c>
      <c r="E427" s="5" t="s">
        <v>16</v>
      </c>
      <c r="F427" s="4">
        <v>327.10000000000002</v>
      </c>
      <c r="G427" s="4">
        <v>0</v>
      </c>
      <c r="H427" s="4">
        <v>43.7</v>
      </c>
      <c r="I427" s="4">
        <v>43.7</v>
      </c>
      <c r="J427" s="4">
        <v>283.39999999999998</v>
      </c>
      <c r="K427" s="4">
        <v>6.26</v>
      </c>
      <c r="L427" s="4">
        <v>2047.64</v>
      </c>
      <c r="M427" s="4">
        <v>0</v>
      </c>
      <c r="N427" s="4">
        <v>273.56</v>
      </c>
      <c r="O427" s="4">
        <v>273.56</v>
      </c>
      <c r="P427" s="6">
        <f t="shared" si="6"/>
        <v>1774.0839999999998</v>
      </c>
    </row>
    <row r="428" spans="1:16" ht="18.75" outlineLevel="2" x14ac:dyDescent="0.2">
      <c r="A428" s="2">
        <v>180116</v>
      </c>
      <c r="B428" s="1"/>
      <c r="C428" s="2">
        <v>920386</v>
      </c>
      <c r="D428" s="3" t="s">
        <v>73</v>
      </c>
      <c r="E428" s="5" t="s">
        <v>16</v>
      </c>
      <c r="F428" s="4">
        <v>358.4</v>
      </c>
      <c r="G428" s="4">
        <v>0</v>
      </c>
      <c r="H428" s="4">
        <v>358.4</v>
      </c>
      <c r="I428" s="4">
        <v>358.4</v>
      </c>
      <c r="J428" s="4">
        <v>0</v>
      </c>
      <c r="K428" s="4">
        <v>7.2</v>
      </c>
      <c r="L428" s="4">
        <v>2580.48</v>
      </c>
      <c r="M428" s="4">
        <v>0</v>
      </c>
      <c r="N428" s="4">
        <v>2580.48</v>
      </c>
      <c r="O428" s="4">
        <v>2580.48</v>
      </c>
      <c r="P428" s="6">
        <f t="shared" si="6"/>
        <v>0</v>
      </c>
    </row>
    <row r="429" spans="1:16" ht="18.75" outlineLevel="2" x14ac:dyDescent="0.2">
      <c r="A429" s="2">
        <v>180117</v>
      </c>
      <c r="B429" s="1"/>
      <c r="C429" s="2">
        <v>922338</v>
      </c>
      <c r="D429" s="3" t="s">
        <v>74</v>
      </c>
      <c r="E429" s="5" t="s">
        <v>10</v>
      </c>
      <c r="F429" s="4">
        <v>73.16</v>
      </c>
      <c r="G429" s="4">
        <v>0</v>
      </c>
      <c r="H429" s="4">
        <v>19.48</v>
      </c>
      <c r="I429" s="4">
        <v>19.48</v>
      </c>
      <c r="J429" s="4">
        <v>53.68</v>
      </c>
      <c r="K429" s="4">
        <v>8.33</v>
      </c>
      <c r="L429" s="4">
        <v>609.41999999999996</v>
      </c>
      <c r="M429" s="4">
        <v>0</v>
      </c>
      <c r="N429" s="4">
        <v>162.26</v>
      </c>
      <c r="O429" s="4">
        <v>162.26</v>
      </c>
      <c r="P429" s="6">
        <f t="shared" si="6"/>
        <v>447.15440000000001</v>
      </c>
    </row>
    <row r="430" spans="1:16" x14ac:dyDescent="0.2">
      <c r="A430" s="1"/>
      <c r="B430" s="1"/>
      <c r="C430" s="1"/>
      <c r="D430" s="9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6">
        <f t="shared" si="6"/>
        <v>0</v>
      </c>
    </row>
    <row r="431" spans="1:16" x14ac:dyDescent="0.2">
      <c r="A431" s="1"/>
      <c r="B431" s="1"/>
      <c r="C431" s="1"/>
      <c r="D431" s="9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6">
        <f t="shared" si="6"/>
        <v>0</v>
      </c>
    </row>
    <row r="432" spans="1:16" outlineLevel="2" x14ac:dyDescent="0.2">
      <c r="A432" s="2">
        <v>190100</v>
      </c>
      <c r="B432" s="1"/>
      <c r="C432" s="2">
        <v>951300</v>
      </c>
      <c r="D432" s="7" t="s">
        <v>17</v>
      </c>
      <c r="E432" s="1"/>
      <c r="F432" s="4" t="s">
        <v>9</v>
      </c>
      <c r="G432" s="4">
        <v>0</v>
      </c>
      <c r="H432" s="4">
        <v>0</v>
      </c>
      <c r="I432" s="4">
        <v>0</v>
      </c>
      <c r="J432" s="4">
        <v>0</v>
      </c>
      <c r="K432" s="4" t="s">
        <v>9</v>
      </c>
      <c r="L432" s="4" t="s">
        <v>9</v>
      </c>
      <c r="M432" s="4">
        <v>0</v>
      </c>
      <c r="N432" s="4">
        <v>0</v>
      </c>
      <c r="O432" s="4">
        <v>0</v>
      </c>
      <c r="P432" s="6">
        <f t="shared" si="6"/>
        <v>0</v>
      </c>
    </row>
    <row r="433" spans="1:16" ht="45.75" outlineLevel="2" x14ac:dyDescent="0.2">
      <c r="A433" s="2">
        <v>190101</v>
      </c>
      <c r="B433" s="1"/>
      <c r="C433" s="2">
        <v>923494</v>
      </c>
      <c r="D433" s="3" t="s">
        <v>386</v>
      </c>
      <c r="E433" s="5" t="s">
        <v>10</v>
      </c>
      <c r="F433" s="4">
        <v>91.17</v>
      </c>
      <c r="G433" s="4">
        <v>0</v>
      </c>
      <c r="H433" s="4">
        <v>0</v>
      </c>
      <c r="I433" s="4">
        <v>0</v>
      </c>
      <c r="J433" s="4">
        <v>91.17</v>
      </c>
      <c r="K433" s="4">
        <v>55.45</v>
      </c>
      <c r="L433" s="4">
        <v>5055.37</v>
      </c>
      <c r="M433" s="4">
        <v>0</v>
      </c>
      <c r="N433" s="4">
        <v>0</v>
      </c>
      <c r="O433" s="4">
        <v>0</v>
      </c>
      <c r="P433" s="6">
        <f t="shared" si="6"/>
        <v>5055.3765000000003</v>
      </c>
    </row>
    <row r="434" spans="1:16" ht="36.75" outlineLevel="2" x14ac:dyDescent="0.2">
      <c r="A434" s="2">
        <v>190102</v>
      </c>
      <c r="B434" s="1"/>
      <c r="C434" s="2">
        <v>925479</v>
      </c>
      <c r="D434" s="3" t="s">
        <v>387</v>
      </c>
      <c r="E434" s="5" t="s">
        <v>11</v>
      </c>
      <c r="F434" s="4">
        <v>7.39</v>
      </c>
      <c r="G434" s="4">
        <v>0</v>
      </c>
      <c r="H434" s="4">
        <v>0</v>
      </c>
      <c r="I434" s="4">
        <v>0</v>
      </c>
      <c r="J434" s="4">
        <v>7.39</v>
      </c>
      <c r="K434" s="4">
        <v>364.22</v>
      </c>
      <c r="L434" s="4">
        <v>2691.58</v>
      </c>
      <c r="M434" s="4">
        <v>0</v>
      </c>
      <c r="N434" s="4">
        <v>0</v>
      </c>
      <c r="O434" s="4">
        <v>0</v>
      </c>
      <c r="P434" s="6">
        <f t="shared" si="6"/>
        <v>2691.5858000000003</v>
      </c>
    </row>
    <row r="435" spans="1:16" ht="36.75" outlineLevel="2" x14ac:dyDescent="0.2">
      <c r="A435" s="2">
        <v>190103</v>
      </c>
      <c r="B435" s="1"/>
      <c r="C435" s="2">
        <v>925480</v>
      </c>
      <c r="D435" s="3" t="s">
        <v>388</v>
      </c>
      <c r="E435" s="5" t="s">
        <v>16</v>
      </c>
      <c r="F435" s="4">
        <v>446.2</v>
      </c>
      <c r="G435" s="4">
        <v>0</v>
      </c>
      <c r="H435" s="4">
        <v>0</v>
      </c>
      <c r="I435" s="4">
        <v>0</v>
      </c>
      <c r="J435" s="4">
        <v>446.2</v>
      </c>
      <c r="K435" s="4">
        <v>7.54</v>
      </c>
      <c r="L435" s="4">
        <v>3364.34</v>
      </c>
      <c r="M435" s="4">
        <v>0</v>
      </c>
      <c r="N435" s="4">
        <v>0</v>
      </c>
      <c r="O435" s="4">
        <v>0</v>
      </c>
      <c r="P435" s="6">
        <f t="shared" si="6"/>
        <v>3364.348</v>
      </c>
    </row>
    <row r="436" spans="1:16" ht="36.75" outlineLevel="2" x14ac:dyDescent="0.2">
      <c r="A436" s="2">
        <v>190104</v>
      </c>
      <c r="B436" s="1"/>
      <c r="C436" s="2">
        <v>923495</v>
      </c>
      <c r="D436" s="3" t="s">
        <v>78</v>
      </c>
      <c r="E436" s="5" t="s">
        <v>16</v>
      </c>
      <c r="F436" s="4">
        <v>130.4</v>
      </c>
      <c r="G436" s="4">
        <v>0</v>
      </c>
      <c r="H436" s="4">
        <v>0</v>
      </c>
      <c r="I436" s="4">
        <v>0</v>
      </c>
      <c r="J436" s="4">
        <v>130.4</v>
      </c>
      <c r="K436" s="4">
        <v>12</v>
      </c>
      <c r="L436" s="4">
        <v>1564.8</v>
      </c>
      <c r="M436" s="4">
        <v>0</v>
      </c>
      <c r="N436" s="4">
        <v>0</v>
      </c>
      <c r="O436" s="4">
        <v>0</v>
      </c>
      <c r="P436" s="6">
        <f t="shared" si="6"/>
        <v>1564.8000000000002</v>
      </c>
    </row>
    <row r="437" spans="1:16" ht="27.75" outlineLevel="2" x14ac:dyDescent="0.2">
      <c r="A437" s="2">
        <v>190105</v>
      </c>
      <c r="B437" s="1"/>
      <c r="C437" s="2">
        <v>960118</v>
      </c>
      <c r="D437" s="3" t="s">
        <v>62</v>
      </c>
      <c r="E437" s="5" t="s">
        <v>11</v>
      </c>
      <c r="F437" s="4">
        <v>98.61</v>
      </c>
      <c r="G437" s="4">
        <v>0</v>
      </c>
      <c r="H437" s="4">
        <v>0</v>
      </c>
      <c r="I437" s="4">
        <v>0</v>
      </c>
      <c r="J437" s="4">
        <v>98.61</v>
      </c>
      <c r="K437" s="4">
        <v>5.54</v>
      </c>
      <c r="L437" s="4">
        <v>546.29</v>
      </c>
      <c r="M437" s="4">
        <v>0</v>
      </c>
      <c r="N437" s="4">
        <v>0</v>
      </c>
      <c r="O437" s="4">
        <v>0</v>
      </c>
      <c r="P437" s="6">
        <f t="shared" si="6"/>
        <v>546.29939999999999</v>
      </c>
    </row>
    <row r="438" spans="1:16" ht="27.75" outlineLevel="2" x14ac:dyDescent="0.2">
      <c r="A438" s="2">
        <v>190106</v>
      </c>
      <c r="B438" s="1"/>
      <c r="C438" s="2">
        <v>922276</v>
      </c>
      <c r="D438" s="3" t="s">
        <v>362</v>
      </c>
      <c r="E438" s="5" t="s">
        <v>10</v>
      </c>
      <c r="F438" s="4">
        <v>910.65</v>
      </c>
      <c r="G438" s="4">
        <v>0</v>
      </c>
      <c r="H438" s="4">
        <v>0</v>
      </c>
      <c r="I438" s="4">
        <v>0</v>
      </c>
      <c r="J438" s="4">
        <v>910.65</v>
      </c>
      <c r="K438" s="4">
        <v>74.97</v>
      </c>
      <c r="L438" s="4">
        <v>68271.429999999993</v>
      </c>
      <c r="M438" s="4">
        <v>0</v>
      </c>
      <c r="N438" s="4">
        <v>0</v>
      </c>
      <c r="O438" s="4">
        <v>0</v>
      </c>
      <c r="P438" s="6">
        <f t="shared" si="6"/>
        <v>68271.430500000002</v>
      </c>
    </row>
    <row r="439" spans="1:16" ht="18.75" outlineLevel="2" x14ac:dyDescent="0.2">
      <c r="A439" s="2">
        <v>190107</v>
      </c>
      <c r="B439" s="1"/>
      <c r="C439" s="2">
        <v>925481</v>
      </c>
      <c r="D439" s="3" t="s">
        <v>389</v>
      </c>
      <c r="E439" s="5" t="s">
        <v>10</v>
      </c>
      <c r="F439" s="4">
        <v>910.65</v>
      </c>
      <c r="G439" s="4">
        <v>0</v>
      </c>
      <c r="H439" s="4">
        <v>0</v>
      </c>
      <c r="I439" s="4">
        <v>0</v>
      </c>
      <c r="J439" s="4">
        <v>910.65</v>
      </c>
      <c r="K439" s="4">
        <v>27.08</v>
      </c>
      <c r="L439" s="4">
        <v>24660.400000000001</v>
      </c>
      <c r="M439" s="4">
        <v>0</v>
      </c>
      <c r="N439" s="4">
        <v>0</v>
      </c>
      <c r="O439" s="4">
        <v>0</v>
      </c>
      <c r="P439" s="6">
        <f t="shared" si="6"/>
        <v>24660.401999999998</v>
      </c>
    </row>
    <row r="440" spans="1:16" x14ac:dyDescent="0.2">
      <c r="A440" s="1"/>
      <c r="B440" s="1"/>
      <c r="C440" s="1"/>
      <c r="D440" s="9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6">
        <f t="shared" si="6"/>
        <v>0</v>
      </c>
    </row>
    <row r="441" spans="1:16" x14ac:dyDescent="0.2">
      <c r="A441" s="1"/>
      <c r="B441" s="1"/>
      <c r="C441" s="1"/>
      <c r="D441" s="9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6">
        <f t="shared" si="6"/>
        <v>0</v>
      </c>
    </row>
    <row r="442" spans="1:16" ht="18.75" outlineLevel="2" x14ac:dyDescent="0.2">
      <c r="A442" s="2">
        <v>200100</v>
      </c>
      <c r="B442" s="1"/>
      <c r="C442" s="2">
        <v>925488</v>
      </c>
      <c r="D442" s="7" t="s">
        <v>21</v>
      </c>
      <c r="E442" s="1"/>
      <c r="F442" s="4" t="s">
        <v>9</v>
      </c>
      <c r="G442" s="4">
        <v>0</v>
      </c>
      <c r="H442" s="4">
        <v>0</v>
      </c>
      <c r="I442" s="4">
        <v>0</v>
      </c>
      <c r="J442" s="4">
        <v>0</v>
      </c>
      <c r="K442" s="4" t="s">
        <v>9</v>
      </c>
      <c r="L442" s="4" t="s">
        <v>9</v>
      </c>
      <c r="M442" s="4">
        <v>0</v>
      </c>
      <c r="N442" s="4">
        <v>0</v>
      </c>
      <c r="O442" s="4">
        <v>0</v>
      </c>
      <c r="P442" s="6">
        <f t="shared" si="6"/>
        <v>0</v>
      </c>
    </row>
    <row r="443" spans="1:16" ht="36.75" outlineLevel="2" x14ac:dyDescent="0.2">
      <c r="A443" s="2">
        <v>200101</v>
      </c>
      <c r="B443" s="1"/>
      <c r="C443" s="2">
        <v>920882</v>
      </c>
      <c r="D443" s="3" t="s">
        <v>390</v>
      </c>
      <c r="E443" s="5" t="s">
        <v>10</v>
      </c>
      <c r="F443" s="4">
        <v>122.03</v>
      </c>
      <c r="G443" s="4">
        <v>0</v>
      </c>
      <c r="H443" s="4">
        <v>0</v>
      </c>
      <c r="I443" s="4">
        <v>0</v>
      </c>
      <c r="J443" s="4">
        <v>122.03</v>
      </c>
      <c r="K443" s="4">
        <v>54.92</v>
      </c>
      <c r="L443" s="4">
        <v>6701.88</v>
      </c>
      <c r="M443" s="4">
        <v>0</v>
      </c>
      <c r="N443" s="4">
        <v>0</v>
      </c>
      <c r="O443" s="4">
        <v>0</v>
      </c>
      <c r="P443" s="6">
        <f t="shared" si="6"/>
        <v>6701.8876</v>
      </c>
    </row>
    <row r="444" spans="1:16" ht="27.75" outlineLevel="2" x14ac:dyDescent="0.2">
      <c r="A444" s="2">
        <v>200102</v>
      </c>
      <c r="B444" s="1"/>
      <c r="C444" s="2">
        <v>920783</v>
      </c>
      <c r="D444" s="3" t="s">
        <v>117</v>
      </c>
      <c r="E444" s="5" t="s">
        <v>10</v>
      </c>
      <c r="F444" s="4">
        <v>138.94999999999999</v>
      </c>
      <c r="G444" s="4">
        <v>0</v>
      </c>
      <c r="H444" s="4">
        <v>0</v>
      </c>
      <c r="I444" s="4">
        <v>0</v>
      </c>
      <c r="J444" s="4">
        <v>138.94999999999999</v>
      </c>
      <c r="K444" s="4">
        <v>107.44</v>
      </c>
      <c r="L444" s="4">
        <v>14928.78</v>
      </c>
      <c r="M444" s="4">
        <v>0</v>
      </c>
      <c r="N444" s="4">
        <v>0</v>
      </c>
      <c r="O444" s="4">
        <v>0</v>
      </c>
      <c r="P444" s="6">
        <f t="shared" si="6"/>
        <v>14928.787999999999</v>
      </c>
    </row>
    <row r="445" spans="1:16" outlineLevel="2" x14ac:dyDescent="0.2">
      <c r="A445" s="2">
        <v>200103</v>
      </c>
      <c r="B445" s="1"/>
      <c r="C445" s="2">
        <v>925482</v>
      </c>
      <c r="D445" s="3" t="s">
        <v>391</v>
      </c>
      <c r="E445" s="5" t="s">
        <v>10</v>
      </c>
      <c r="F445" s="4">
        <v>58.5</v>
      </c>
      <c r="G445" s="4">
        <v>0</v>
      </c>
      <c r="H445" s="4">
        <v>0</v>
      </c>
      <c r="I445" s="4">
        <v>0</v>
      </c>
      <c r="J445" s="4">
        <v>58.5</v>
      </c>
      <c r="K445" s="4">
        <v>744.42</v>
      </c>
      <c r="L445" s="4">
        <v>43548.57</v>
      </c>
      <c r="M445" s="4">
        <v>0</v>
      </c>
      <c r="N445" s="4">
        <v>0</v>
      </c>
      <c r="O445" s="4">
        <v>0</v>
      </c>
      <c r="P445" s="6">
        <f t="shared" si="6"/>
        <v>43548.57</v>
      </c>
    </row>
    <row r="446" spans="1:16" x14ac:dyDescent="0.2">
      <c r="A446" s="1"/>
      <c r="B446" s="1"/>
      <c r="C446" s="1"/>
      <c r="D446" s="9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6">
        <f t="shared" si="6"/>
        <v>0</v>
      </c>
    </row>
    <row r="447" spans="1:16" x14ac:dyDescent="0.2">
      <c r="A447" s="1"/>
      <c r="B447" s="1"/>
      <c r="C447" s="1"/>
      <c r="D447" s="9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6">
        <f t="shared" si="6"/>
        <v>0</v>
      </c>
    </row>
    <row r="448" spans="1:16" ht="18.75" outlineLevel="2" x14ac:dyDescent="0.2">
      <c r="A448" s="2">
        <v>210100</v>
      </c>
      <c r="B448" s="1"/>
      <c r="C448" s="2">
        <v>925483</v>
      </c>
      <c r="D448" s="7" t="s">
        <v>39</v>
      </c>
      <c r="E448" s="1"/>
      <c r="F448" s="4" t="s">
        <v>9</v>
      </c>
      <c r="G448" s="4">
        <v>0</v>
      </c>
      <c r="H448" s="4">
        <v>0</v>
      </c>
      <c r="I448" s="4">
        <v>0</v>
      </c>
      <c r="J448" s="4">
        <v>0</v>
      </c>
      <c r="K448" s="4" t="s">
        <v>9</v>
      </c>
      <c r="L448" s="4" t="s">
        <v>9</v>
      </c>
      <c r="M448" s="4">
        <v>0</v>
      </c>
      <c r="N448" s="4">
        <v>0</v>
      </c>
      <c r="O448" s="4">
        <v>0</v>
      </c>
      <c r="P448" s="6">
        <f t="shared" si="6"/>
        <v>0</v>
      </c>
    </row>
    <row r="449" spans="1:16" ht="36.75" outlineLevel="2" x14ac:dyDescent="0.2">
      <c r="A449" s="2">
        <v>210101</v>
      </c>
      <c r="B449" s="1"/>
      <c r="C449" s="2">
        <v>920904</v>
      </c>
      <c r="D449" s="3" t="s">
        <v>392</v>
      </c>
      <c r="E449" s="5" t="s">
        <v>10</v>
      </c>
      <c r="F449" s="4">
        <v>328.07</v>
      </c>
      <c r="G449" s="4">
        <v>0</v>
      </c>
      <c r="H449" s="4">
        <v>0</v>
      </c>
      <c r="I449" s="4">
        <v>0</v>
      </c>
      <c r="J449" s="4">
        <v>328.07</v>
      </c>
      <c r="K449" s="4">
        <v>4.38</v>
      </c>
      <c r="L449" s="4">
        <v>1436.94</v>
      </c>
      <c r="M449" s="4">
        <v>0</v>
      </c>
      <c r="N449" s="4">
        <v>0</v>
      </c>
      <c r="O449" s="4">
        <v>0</v>
      </c>
      <c r="P449" s="6">
        <f t="shared" si="6"/>
        <v>1436.9466</v>
      </c>
    </row>
    <row r="450" spans="1:16" ht="18.75" outlineLevel="2" x14ac:dyDescent="0.2">
      <c r="A450" s="2">
        <v>210102</v>
      </c>
      <c r="B450" s="1"/>
      <c r="C450" s="2">
        <v>949822</v>
      </c>
      <c r="D450" s="3" t="s">
        <v>393</v>
      </c>
      <c r="E450" s="5" t="s">
        <v>10</v>
      </c>
      <c r="F450" s="4">
        <v>328.07</v>
      </c>
      <c r="G450" s="4">
        <v>0</v>
      </c>
      <c r="H450" s="4">
        <v>0</v>
      </c>
      <c r="I450" s="4">
        <v>0</v>
      </c>
      <c r="J450" s="4">
        <v>328.07</v>
      </c>
      <c r="K450" s="4">
        <v>7.98</v>
      </c>
      <c r="L450" s="4">
        <v>2617.9899999999998</v>
      </c>
      <c r="M450" s="4">
        <v>0</v>
      </c>
      <c r="N450" s="4">
        <v>0</v>
      </c>
      <c r="O450" s="4">
        <v>0</v>
      </c>
      <c r="P450" s="6">
        <f t="shared" si="6"/>
        <v>2617.9985999999999</v>
      </c>
    </row>
    <row r="451" spans="1:16" ht="18.75" outlineLevel="2" x14ac:dyDescent="0.2">
      <c r="A451" s="2">
        <v>210103</v>
      </c>
      <c r="B451" s="1"/>
      <c r="C451" s="2">
        <v>921974</v>
      </c>
      <c r="D451" s="3" t="s">
        <v>127</v>
      </c>
      <c r="E451" s="5" t="s">
        <v>10</v>
      </c>
      <c r="F451" s="4">
        <v>328.07</v>
      </c>
      <c r="G451" s="4">
        <v>0</v>
      </c>
      <c r="H451" s="4">
        <v>0</v>
      </c>
      <c r="I451" s="4">
        <v>0</v>
      </c>
      <c r="J451" s="4">
        <v>328.07</v>
      </c>
      <c r="K451" s="4">
        <v>1.85</v>
      </c>
      <c r="L451" s="4">
        <v>606.91999999999996</v>
      </c>
      <c r="M451" s="4">
        <v>0</v>
      </c>
      <c r="N451" s="4">
        <v>0</v>
      </c>
      <c r="O451" s="4">
        <v>0</v>
      </c>
      <c r="P451" s="6">
        <f t="shared" si="6"/>
        <v>606.92949999999996</v>
      </c>
    </row>
    <row r="452" spans="1:16" ht="18.75" outlineLevel="2" x14ac:dyDescent="0.2">
      <c r="A452" s="2">
        <v>210104</v>
      </c>
      <c r="B452" s="1"/>
      <c r="C452" s="2">
        <v>922117</v>
      </c>
      <c r="D452" s="3" t="s">
        <v>128</v>
      </c>
      <c r="E452" s="5" t="s">
        <v>10</v>
      </c>
      <c r="F452" s="4">
        <v>328.07</v>
      </c>
      <c r="G452" s="4">
        <v>0</v>
      </c>
      <c r="H452" s="4">
        <v>0</v>
      </c>
      <c r="I452" s="4">
        <v>0</v>
      </c>
      <c r="J452" s="4">
        <v>328.07</v>
      </c>
      <c r="K452" s="4">
        <v>10.46</v>
      </c>
      <c r="L452" s="4">
        <v>3431.61</v>
      </c>
      <c r="M452" s="4">
        <v>0</v>
      </c>
      <c r="N452" s="4">
        <v>0</v>
      </c>
      <c r="O452" s="4">
        <v>0</v>
      </c>
      <c r="P452" s="6">
        <f t="shared" si="6"/>
        <v>3431.6122</v>
      </c>
    </row>
    <row r="453" spans="1:16" ht="18.75" outlineLevel="2" x14ac:dyDescent="0.2">
      <c r="A453" s="2">
        <v>210105</v>
      </c>
      <c r="B453" s="1"/>
      <c r="C453" s="2">
        <v>949729</v>
      </c>
      <c r="D453" s="3" t="s">
        <v>394</v>
      </c>
      <c r="E453" s="5" t="s">
        <v>10</v>
      </c>
      <c r="F453" s="4">
        <v>910.65</v>
      </c>
      <c r="G453" s="4">
        <v>0</v>
      </c>
      <c r="H453" s="4">
        <v>0</v>
      </c>
      <c r="I453" s="4">
        <v>0</v>
      </c>
      <c r="J453" s="4">
        <v>910.65</v>
      </c>
      <c r="K453" s="4">
        <v>16.22</v>
      </c>
      <c r="L453" s="4">
        <v>14770.74</v>
      </c>
      <c r="M453" s="4">
        <v>0</v>
      </c>
      <c r="N453" s="4">
        <v>0</v>
      </c>
      <c r="O453" s="4">
        <v>0</v>
      </c>
      <c r="P453" s="6">
        <f t="shared" si="6"/>
        <v>14770.742999999999</v>
      </c>
    </row>
    <row r="454" spans="1:16" ht="18.75" outlineLevel="2" x14ac:dyDescent="0.2">
      <c r="A454" s="2">
        <v>210106</v>
      </c>
      <c r="B454" s="1"/>
      <c r="C454" s="2">
        <v>922583</v>
      </c>
      <c r="D454" s="3" t="s">
        <v>395</v>
      </c>
      <c r="E454" s="5" t="s">
        <v>15</v>
      </c>
      <c r="F454" s="4">
        <v>485.25</v>
      </c>
      <c r="G454" s="4">
        <v>0</v>
      </c>
      <c r="H454" s="4">
        <v>0</v>
      </c>
      <c r="I454" s="4">
        <v>0</v>
      </c>
      <c r="J454" s="4">
        <v>485.25</v>
      </c>
      <c r="K454" s="4">
        <v>9.15</v>
      </c>
      <c r="L454" s="4">
        <v>4440.03</v>
      </c>
      <c r="M454" s="4">
        <v>0</v>
      </c>
      <c r="N454" s="4">
        <v>0</v>
      </c>
      <c r="O454" s="4">
        <v>0</v>
      </c>
      <c r="P454" s="6">
        <f t="shared" si="6"/>
        <v>4440.0375000000004</v>
      </c>
    </row>
    <row r="455" spans="1:16" x14ac:dyDescent="0.2">
      <c r="A455" s="1"/>
      <c r="B455" s="1"/>
      <c r="C455" s="1"/>
      <c r="D455" s="9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6">
        <f t="shared" si="6"/>
        <v>0</v>
      </c>
    </row>
    <row r="456" spans="1:16" x14ac:dyDescent="0.2">
      <c r="A456" s="1"/>
      <c r="B456" s="1"/>
      <c r="C456" s="1"/>
      <c r="D456" s="9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6">
        <f t="shared" si="6"/>
        <v>0</v>
      </c>
    </row>
    <row r="457" spans="1:16" outlineLevel="2" x14ac:dyDescent="0.2">
      <c r="A457" s="2">
        <v>220100</v>
      </c>
      <c r="B457" s="1"/>
      <c r="C457" s="2">
        <v>925496</v>
      </c>
      <c r="D457" s="7" t="s">
        <v>40</v>
      </c>
      <c r="E457" s="1"/>
      <c r="F457" s="4" t="s">
        <v>9</v>
      </c>
      <c r="G457" s="4">
        <v>0</v>
      </c>
      <c r="H457" s="4">
        <v>0</v>
      </c>
      <c r="I457" s="4">
        <v>0</v>
      </c>
      <c r="J457" s="4">
        <v>0</v>
      </c>
      <c r="K457" s="4" t="s">
        <v>9</v>
      </c>
      <c r="L457" s="4" t="s">
        <v>9</v>
      </c>
      <c r="M457" s="4">
        <v>0</v>
      </c>
      <c r="N457" s="4">
        <v>0</v>
      </c>
      <c r="O457" s="4">
        <v>0</v>
      </c>
      <c r="P457" s="6">
        <f t="shared" si="6"/>
        <v>0</v>
      </c>
    </row>
    <row r="458" spans="1:16" ht="36.75" outlineLevel="2" x14ac:dyDescent="0.2">
      <c r="A458" s="2">
        <v>220101</v>
      </c>
      <c r="B458" s="1"/>
      <c r="C458" s="2">
        <v>948178</v>
      </c>
      <c r="D458" s="3" t="s">
        <v>260</v>
      </c>
      <c r="E458" s="5" t="s">
        <v>20</v>
      </c>
      <c r="F458" s="4">
        <v>1</v>
      </c>
      <c r="G458" s="4">
        <v>0</v>
      </c>
      <c r="H458" s="4">
        <v>0</v>
      </c>
      <c r="I458" s="4">
        <v>0</v>
      </c>
      <c r="J458" s="4">
        <v>1</v>
      </c>
      <c r="K458" s="4">
        <v>437.66</v>
      </c>
      <c r="L458" s="4">
        <v>437.66</v>
      </c>
      <c r="M458" s="4">
        <v>0</v>
      </c>
      <c r="N458" s="4">
        <v>0</v>
      </c>
      <c r="O458" s="4">
        <v>0</v>
      </c>
      <c r="P458" s="6">
        <f t="shared" si="6"/>
        <v>437.66</v>
      </c>
    </row>
    <row r="459" spans="1:16" ht="18.75" outlineLevel="2" x14ac:dyDescent="0.2">
      <c r="A459" s="2">
        <v>220102</v>
      </c>
      <c r="B459" s="1"/>
      <c r="C459" s="2">
        <v>920550</v>
      </c>
      <c r="D459" s="3" t="s">
        <v>292</v>
      </c>
      <c r="E459" s="5" t="s">
        <v>20</v>
      </c>
      <c r="F459" s="4">
        <v>10</v>
      </c>
      <c r="G459" s="4">
        <v>0</v>
      </c>
      <c r="H459" s="4">
        <v>0</v>
      </c>
      <c r="I459" s="4">
        <v>0</v>
      </c>
      <c r="J459" s="4">
        <v>10</v>
      </c>
      <c r="K459" s="4">
        <v>20.420000000000002</v>
      </c>
      <c r="L459" s="4">
        <v>204.2</v>
      </c>
      <c r="M459" s="4">
        <v>0</v>
      </c>
      <c r="N459" s="4">
        <v>0</v>
      </c>
      <c r="O459" s="4">
        <v>0</v>
      </c>
      <c r="P459" s="6">
        <f t="shared" si="6"/>
        <v>204.20000000000002</v>
      </c>
    </row>
    <row r="460" spans="1:16" ht="27.75" outlineLevel="2" x14ac:dyDescent="0.2">
      <c r="A460" s="2">
        <v>220103</v>
      </c>
      <c r="B460" s="1"/>
      <c r="C460" s="2">
        <v>924055</v>
      </c>
      <c r="D460" s="3" t="s">
        <v>294</v>
      </c>
      <c r="E460" s="5" t="s">
        <v>15</v>
      </c>
      <c r="F460" s="4">
        <v>7.18</v>
      </c>
      <c r="G460" s="4">
        <v>0</v>
      </c>
      <c r="H460" s="4">
        <v>0</v>
      </c>
      <c r="I460" s="4">
        <v>0</v>
      </c>
      <c r="J460" s="4">
        <v>7.18</v>
      </c>
      <c r="K460" s="4">
        <v>8.43</v>
      </c>
      <c r="L460" s="4">
        <v>60.52</v>
      </c>
      <c r="M460" s="4">
        <v>0</v>
      </c>
      <c r="N460" s="4">
        <v>0</v>
      </c>
      <c r="O460" s="4">
        <v>0</v>
      </c>
      <c r="P460" s="6">
        <f t="shared" si="6"/>
        <v>60.527399999999993</v>
      </c>
    </row>
    <row r="461" spans="1:16" ht="27.75" outlineLevel="2" x14ac:dyDescent="0.2">
      <c r="A461" s="2">
        <v>220104</v>
      </c>
      <c r="B461" s="1"/>
      <c r="C461" s="2">
        <v>923000</v>
      </c>
      <c r="D461" s="3" t="s">
        <v>275</v>
      </c>
      <c r="E461" s="5" t="s">
        <v>15</v>
      </c>
      <c r="F461" s="4">
        <v>199.3</v>
      </c>
      <c r="G461" s="4">
        <v>0</v>
      </c>
      <c r="H461" s="4">
        <v>0</v>
      </c>
      <c r="I461" s="4">
        <v>0</v>
      </c>
      <c r="J461" s="4">
        <v>199.3</v>
      </c>
      <c r="K461" s="4">
        <v>8.82</v>
      </c>
      <c r="L461" s="4">
        <v>1757.82</v>
      </c>
      <c r="M461" s="4">
        <v>0</v>
      </c>
      <c r="N461" s="4">
        <v>0</v>
      </c>
      <c r="O461" s="4">
        <v>0</v>
      </c>
      <c r="P461" s="6">
        <f t="shared" si="6"/>
        <v>1757.8260000000002</v>
      </c>
    </row>
    <row r="462" spans="1:16" ht="18.75" outlineLevel="2" x14ac:dyDescent="0.2">
      <c r="A462" s="2">
        <v>220105</v>
      </c>
      <c r="B462" s="1"/>
      <c r="C462" s="2">
        <v>925484</v>
      </c>
      <c r="D462" s="3" t="s">
        <v>396</v>
      </c>
      <c r="E462" s="5" t="s">
        <v>20</v>
      </c>
      <c r="F462" s="4">
        <v>24</v>
      </c>
      <c r="G462" s="4">
        <v>0</v>
      </c>
      <c r="H462" s="4">
        <v>0</v>
      </c>
      <c r="I462" s="4">
        <v>0</v>
      </c>
      <c r="J462" s="4">
        <v>24</v>
      </c>
      <c r="K462" s="4">
        <v>7.77</v>
      </c>
      <c r="L462" s="4">
        <v>186.48</v>
      </c>
      <c r="M462" s="4">
        <v>0</v>
      </c>
      <c r="N462" s="4">
        <v>0</v>
      </c>
      <c r="O462" s="4">
        <v>0</v>
      </c>
      <c r="P462" s="6">
        <f t="shared" si="6"/>
        <v>186.48</v>
      </c>
    </row>
    <row r="463" spans="1:16" ht="27.75" outlineLevel="2" x14ac:dyDescent="0.2">
      <c r="A463" s="2">
        <v>220106</v>
      </c>
      <c r="B463" s="1"/>
      <c r="C463" s="2">
        <v>923110</v>
      </c>
      <c r="D463" s="3" t="s">
        <v>295</v>
      </c>
      <c r="E463" s="5" t="s">
        <v>20</v>
      </c>
      <c r="F463" s="4">
        <v>1</v>
      </c>
      <c r="G463" s="4">
        <v>0</v>
      </c>
      <c r="H463" s="4">
        <v>0</v>
      </c>
      <c r="I463" s="4">
        <v>0</v>
      </c>
      <c r="J463" s="4">
        <v>1</v>
      </c>
      <c r="K463" s="4">
        <v>20.9</v>
      </c>
      <c r="L463" s="4">
        <v>20.9</v>
      </c>
      <c r="M463" s="4">
        <v>0</v>
      </c>
      <c r="N463" s="4">
        <v>0</v>
      </c>
      <c r="O463" s="4">
        <v>0</v>
      </c>
      <c r="P463" s="6">
        <f t="shared" si="6"/>
        <v>20.9</v>
      </c>
    </row>
    <row r="464" spans="1:16" ht="18.75" outlineLevel="2" x14ac:dyDescent="0.2">
      <c r="A464" s="2">
        <v>220107</v>
      </c>
      <c r="B464" s="1"/>
      <c r="C464" s="2">
        <v>500006</v>
      </c>
      <c r="D464" s="3" t="s">
        <v>321</v>
      </c>
      <c r="E464" s="5" t="s">
        <v>30</v>
      </c>
      <c r="F464" s="4">
        <v>45</v>
      </c>
      <c r="G464" s="4">
        <v>0</v>
      </c>
      <c r="H464" s="4">
        <v>0</v>
      </c>
      <c r="I464" s="4">
        <v>0</v>
      </c>
      <c r="J464" s="4">
        <v>45</v>
      </c>
      <c r="K464" s="4">
        <v>144.04</v>
      </c>
      <c r="L464" s="4">
        <v>6481.8</v>
      </c>
      <c r="M464" s="4">
        <v>0</v>
      </c>
      <c r="N464" s="4">
        <v>0</v>
      </c>
      <c r="O464" s="4">
        <v>0</v>
      </c>
      <c r="P464" s="6">
        <f t="shared" si="6"/>
        <v>6481.7999999999993</v>
      </c>
    </row>
    <row r="465" spans="1:16" x14ac:dyDescent="0.2">
      <c r="A465" s="1"/>
      <c r="B465" s="1"/>
      <c r="C465" s="1"/>
      <c r="D465" s="9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6">
        <f t="shared" si="6"/>
        <v>0</v>
      </c>
    </row>
    <row r="466" spans="1:16" outlineLevel="2" x14ac:dyDescent="0.2">
      <c r="A466" s="2">
        <v>230100</v>
      </c>
      <c r="B466" s="1"/>
      <c r="C466" s="2">
        <v>925485</v>
      </c>
      <c r="D466" s="7" t="s">
        <v>41</v>
      </c>
      <c r="E466" s="1"/>
      <c r="F466" s="4" t="s">
        <v>9</v>
      </c>
      <c r="G466" s="4">
        <v>0</v>
      </c>
      <c r="H466" s="4">
        <v>0</v>
      </c>
      <c r="I466" s="4">
        <v>0</v>
      </c>
      <c r="J466" s="4">
        <v>0</v>
      </c>
      <c r="K466" s="4" t="s">
        <v>9</v>
      </c>
      <c r="L466" s="4" t="s">
        <v>9</v>
      </c>
      <c r="M466" s="4">
        <v>0</v>
      </c>
      <c r="N466" s="4">
        <v>0</v>
      </c>
      <c r="O466" s="4">
        <v>0</v>
      </c>
      <c r="P466" s="6">
        <f t="shared" si="6"/>
        <v>0</v>
      </c>
    </row>
    <row r="467" spans="1:16" ht="36.75" outlineLevel="2" x14ac:dyDescent="0.2">
      <c r="A467" s="2">
        <v>230101</v>
      </c>
      <c r="B467" s="1"/>
      <c r="C467" s="2">
        <v>925486</v>
      </c>
      <c r="D467" s="3" t="s">
        <v>397</v>
      </c>
      <c r="E467" s="5" t="s">
        <v>20</v>
      </c>
      <c r="F467" s="4">
        <v>1</v>
      </c>
      <c r="G467" s="4">
        <v>0</v>
      </c>
      <c r="H467" s="4">
        <v>0</v>
      </c>
      <c r="I467" s="4">
        <v>0</v>
      </c>
      <c r="J467" s="4">
        <v>1</v>
      </c>
      <c r="K467" s="4">
        <v>3614.39</v>
      </c>
      <c r="L467" s="4">
        <v>3614.39</v>
      </c>
      <c r="M467" s="4">
        <v>0</v>
      </c>
      <c r="N467" s="4">
        <v>0</v>
      </c>
      <c r="O467" s="4">
        <v>0</v>
      </c>
      <c r="P467" s="6">
        <f t="shared" si="6"/>
        <v>3614.39</v>
      </c>
    </row>
    <row r="468" spans="1:16" ht="36.75" outlineLevel="2" x14ac:dyDescent="0.2">
      <c r="A468" s="2">
        <v>230102</v>
      </c>
      <c r="B468" s="1"/>
      <c r="C468" s="2">
        <v>922559</v>
      </c>
      <c r="D468" s="3" t="s">
        <v>398</v>
      </c>
      <c r="E468" s="5" t="s">
        <v>20</v>
      </c>
      <c r="F468" s="4">
        <v>1</v>
      </c>
      <c r="G468" s="4">
        <v>0</v>
      </c>
      <c r="H468" s="4">
        <v>0</v>
      </c>
      <c r="I468" s="4">
        <v>0</v>
      </c>
      <c r="J468" s="4">
        <v>1</v>
      </c>
      <c r="K468" s="4">
        <v>2194.2399999999998</v>
      </c>
      <c r="L468" s="4">
        <v>2194.2399999999998</v>
      </c>
      <c r="M468" s="4">
        <v>0</v>
      </c>
      <c r="N468" s="4">
        <v>0</v>
      </c>
      <c r="O468" s="4">
        <v>0</v>
      </c>
      <c r="P468" s="6">
        <f t="shared" si="6"/>
        <v>2194.2399999999998</v>
      </c>
    </row>
    <row r="469" spans="1:16" ht="27.75" outlineLevel="2" x14ac:dyDescent="0.2">
      <c r="A469" s="2">
        <v>230103</v>
      </c>
      <c r="B469" s="1"/>
      <c r="C469" s="2">
        <v>925487</v>
      </c>
      <c r="D469" s="3" t="s">
        <v>399</v>
      </c>
      <c r="E469" s="5" t="s">
        <v>20</v>
      </c>
      <c r="F469" s="4">
        <v>1</v>
      </c>
      <c r="G469" s="4">
        <v>0</v>
      </c>
      <c r="H469" s="4">
        <v>0</v>
      </c>
      <c r="I469" s="4">
        <v>0</v>
      </c>
      <c r="J469" s="4">
        <v>1</v>
      </c>
      <c r="K469" s="4">
        <v>1125.51</v>
      </c>
      <c r="L469" s="4">
        <v>1125.51</v>
      </c>
      <c r="M469" s="4">
        <v>0</v>
      </c>
      <c r="N469" s="4">
        <v>0</v>
      </c>
      <c r="O469" s="4">
        <v>0</v>
      </c>
      <c r="P469" s="6">
        <f t="shared" si="6"/>
        <v>1125.51</v>
      </c>
    </row>
    <row r="470" spans="1:16" ht="18.75" outlineLevel="2" x14ac:dyDescent="0.2">
      <c r="A470" s="2">
        <v>230104</v>
      </c>
      <c r="B470" s="1"/>
      <c r="C470" s="2">
        <v>949153</v>
      </c>
      <c r="D470" s="3" t="s">
        <v>400</v>
      </c>
      <c r="E470" s="5" t="s">
        <v>10</v>
      </c>
      <c r="F470" s="4">
        <v>52.04</v>
      </c>
      <c r="G470" s="4">
        <v>0</v>
      </c>
      <c r="H470" s="4">
        <v>0</v>
      </c>
      <c r="I470" s="4">
        <v>0</v>
      </c>
      <c r="J470" s="4">
        <v>52.04</v>
      </c>
      <c r="K470" s="4">
        <v>292.27999999999997</v>
      </c>
      <c r="L470" s="4">
        <v>15210.25</v>
      </c>
      <c r="M470" s="4">
        <v>0</v>
      </c>
      <c r="N470" s="4">
        <v>0</v>
      </c>
      <c r="O470" s="4">
        <v>0</v>
      </c>
      <c r="P470" s="6">
        <f>PRODUCT(J470,K470)</f>
        <v>15210.251199999999</v>
      </c>
    </row>
    <row r="471" spans="1:16" outlineLevel="2" x14ac:dyDescent="0.2">
      <c r="A471" s="2">
        <v>230105</v>
      </c>
      <c r="B471" s="1"/>
      <c r="C471" s="2">
        <v>210101</v>
      </c>
      <c r="D471" s="3" t="s">
        <v>363</v>
      </c>
      <c r="E471" s="5" t="s">
        <v>10</v>
      </c>
      <c r="F471" s="4">
        <v>910.65</v>
      </c>
      <c r="G471" s="4">
        <v>0</v>
      </c>
      <c r="H471" s="4">
        <v>0</v>
      </c>
      <c r="I471" s="4">
        <v>0</v>
      </c>
      <c r="J471" s="4">
        <v>910.65</v>
      </c>
      <c r="K471" s="4">
        <v>2.19</v>
      </c>
      <c r="L471" s="4">
        <v>1994.32</v>
      </c>
      <c r="M471" s="4">
        <v>0</v>
      </c>
      <c r="N471" s="4">
        <v>0</v>
      </c>
      <c r="O471" s="4">
        <v>0</v>
      </c>
      <c r="P471" s="6">
        <f>PRODUCT(J471,K471)</f>
        <v>1994.3235</v>
      </c>
    </row>
    <row r="472" spans="1:16" x14ac:dyDescent="0.2">
      <c r="A472" s="1"/>
      <c r="B472" s="1"/>
      <c r="C472" s="1"/>
      <c r="D472" s="9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6">
        <f>SUM(P8:P471)</f>
        <v>2214836.9536999986</v>
      </c>
    </row>
  </sheetData>
  <mergeCells count="2">
    <mergeCell ref="A3:P3"/>
    <mergeCell ref="A1:P2"/>
  </mergeCells>
  <pageMargins left="0.78740157480314965" right="0.78740157480314965" top="0.98425196850393704" bottom="0.98425196850393704" header="0.51181102362204722" footer="0.51181102362204722"/>
  <pageSetup paperSize="9" scale="81" fitToHeight="0" orientation="landscape" r:id="rId1"/>
  <rowBreaks count="1" manualBreakCount="1">
    <brk id="448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G40"/>
  <sheetViews>
    <sheetView view="pageBreakPreview" zoomScale="60" zoomScaleNormal="100" workbookViewId="0">
      <selection activeCell="D33" sqref="D33"/>
    </sheetView>
  </sheetViews>
  <sheetFormatPr defaultRowHeight="12.75" x14ac:dyDescent="0.2"/>
  <cols>
    <col min="1" max="1" width="87.85546875" customWidth="1"/>
    <col min="2" max="2" width="67.7109375" customWidth="1"/>
    <col min="4" max="4" width="36" bestFit="1" customWidth="1"/>
    <col min="7" max="7" width="45.42578125" customWidth="1"/>
  </cols>
  <sheetData>
    <row r="1" spans="1:2" ht="15" customHeight="1" x14ac:dyDescent="0.2">
      <c r="A1" s="13" t="s">
        <v>667</v>
      </c>
      <c r="B1" s="14" t="s">
        <v>646</v>
      </c>
    </row>
    <row r="2" spans="1:2" ht="15" customHeight="1" x14ac:dyDescent="0.2">
      <c r="A2" s="13" t="s">
        <v>668</v>
      </c>
      <c r="B2" s="14" t="s">
        <v>468</v>
      </c>
    </row>
    <row r="3" spans="1:2" ht="15" customHeight="1" x14ac:dyDescent="0.2">
      <c r="A3" s="13" t="s">
        <v>669</v>
      </c>
      <c r="B3" s="14" t="s">
        <v>469</v>
      </c>
    </row>
    <row r="4" spans="1:2" ht="15" customHeight="1" x14ac:dyDescent="0.2">
      <c r="A4" s="13" t="s">
        <v>670</v>
      </c>
      <c r="B4" s="14" t="s">
        <v>470</v>
      </c>
    </row>
    <row r="5" spans="1:2" ht="15" customHeight="1" x14ac:dyDescent="0.2">
      <c r="A5" s="13" t="s">
        <v>671</v>
      </c>
      <c r="B5" s="14" t="s">
        <v>471</v>
      </c>
    </row>
    <row r="6" spans="1:2" ht="15" customHeight="1" x14ac:dyDescent="0.2">
      <c r="A6" s="13" t="s">
        <v>672</v>
      </c>
      <c r="B6" s="14" t="s">
        <v>472</v>
      </c>
    </row>
    <row r="7" spans="1:2" ht="15" customHeight="1" x14ac:dyDescent="0.2">
      <c r="A7" s="13" t="s">
        <v>673</v>
      </c>
      <c r="B7" s="14" t="s">
        <v>473</v>
      </c>
    </row>
    <row r="8" spans="1:2" ht="15" customHeight="1" x14ac:dyDescent="0.2">
      <c r="A8" s="13" t="s">
        <v>674</v>
      </c>
      <c r="B8" s="14" t="s">
        <v>474</v>
      </c>
    </row>
    <row r="9" spans="1:2" ht="15" customHeight="1" x14ac:dyDescent="0.2">
      <c r="A9" s="13" t="s">
        <v>675</v>
      </c>
      <c r="B9" s="14" t="s">
        <v>475</v>
      </c>
    </row>
    <row r="10" spans="1:2" ht="15" customHeight="1" x14ac:dyDescent="0.2">
      <c r="A10" s="13" t="s">
        <v>676</v>
      </c>
      <c r="B10" s="14" t="s">
        <v>476</v>
      </c>
    </row>
    <row r="11" spans="1:2" x14ac:dyDescent="0.2">
      <c r="A11" s="108" t="s">
        <v>742</v>
      </c>
    </row>
    <row r="12" spans="1:2" x14ac:dyDescent="0.2">
      <c r="A12" s="109"/>
    </row>
    <row r="13" spans="1:2" x14ac:dyDescent="0.2">
      <c r="A13" s="109"/>
    </row>
    <row r="14" spans="1:2" x14ac:dyDescent="0.2">
      <c r="A14" s="109"/>
    </row>
    <row r="15" spans="1:2" x14ac:dyDescent="0.2">
      <c r="A15" s="109"/>
    </row>
    <row r="16" spans="1:2" x14ac:dyDescent="0.2">
      <c r="A16" s="109"/>
    </row>
    <row r="17" spans="1:1" x14ac:dyDescent="0.2">
      <c r="A17" s="109"/>
    </row>
    <row r="18" spans="1:1" x14ac:dyDescent="0.2">
      <c r="A18" s="109"/>
    </row>
    <row r="19" spans="1:1" x14ac:dyDescent="0.2">
      <c r="A19" s="109"/>
    </row>
    <row r="20" spans="1:1" x14ac:dyDescent="0.2">
      <c r="A20" s="109"/>
    </row>
    <row r="21" spans="1:1" x14ac:dyDescent="0.2">
      <c r="A21" s="109"/>
    </row>
    <row r="22" spans="1:1" x14ac:dyDescent="0.2">
      <c r="A22" t="s">
        <v>737</v>
      </c>
    </row>
    <row r="23" spans="1:1" x14ac:dyDescent="0.2">
      <c r="A23" t="s">
        <v>738</v>
      </c>
    </row>
    <row r="24" spans="1:1" x14ac:dyDescent="0.2">
      <c r="A24" t="s">
        <v>739</v>
      </c>
    </row>
    <row r="25" spans="1:1" x14ac:dyDescent="0.2">
      <c r="A25" t="s">
        <v>740</v>
      </c>
    </row>
    <row r="26" spans="1:1" x14ac:dyDescent="0.2">
      <c r="A26" t="s">
        <v>741</v>
      </c>
    </row>
    <row r="33" spans="1:7" ht="363.75" x14ac:dyDescent="0.2">
      <c r="A33" s="22" t="s">
        <v>743</v>
      </c>
    </row>
    <row r="36" spans="1:7" x14ac:dyDescent="0.2">
      <c r="G36" s="23"/>
    </row>
    <row r="38" spans="1:7" x14ac:dyDescent="0.2">
      <c r="G38" s="23"/>
    </row>
    <row r="39" spans="1:7" x14ac:dyDescent="0.2">
      <c r="G39" s="23"/>
    </row>
    <row r="40" spans="1:7" x14ac:dyDescent="0.2">
      <c r="G40" s="23"/>
    </row>
  </sheetData>
  <mergeCells count="1">
    <mergeCell ref="A11:A21"/>
  </mergeCells>
  <pageMargins left="0.511811024" right="0.511811024" top="0.78740157499999996" bottom="0.78740157499999996" header="0.31496062000000002" footer="0.31496062000000002"/>
  <pageSetup paperSize="9" scale="6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LEVANTAMENTO VILA NATHALIA</vt:lpstr>
      <vt:lpstr>RelatorioMedição</vt:lpstr>
      <vt:lpstr>Planilha1</vt:lpstr>
      <vt:lpstr>'LEVANTAMENTO VILA NATHALIA'!Area_de_impressao</vt:lpstr>
      <vt:lpstr>'LEVANTAMENTO VILA NATHALIA'!Titulos_de_impressao</vt:lpstr>
      <vt:lpstr>RelatorioMedição!Titulos_de_impressao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Carlo Agneli Lemes</dc:creator>
  <cp:lastModifiedBy>Hedipo Matheus Antunes Silva</cp:lastModifiedBy>
  <cp:lastPrinted>2025-10-31T18:30:50Z</cp:lastPrinted>
  <dcterms:created xsi:type="dcterms:W3CDTF">2021-10-22T15:51:22Z</dcterms:created>
  <dcterms:modified xsi:type="dcterms:W3CDTF">2025-11-07T15:56:08Z</dcterms:modified>
</cp:coreProperties>
</file>